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8.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9.xml" ContentType="application/vnd.openxmlformats-officedocument.drawing+xml"/>
  <Override PartName="/xl/drawings/drawing10.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11.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2.xml" ContentType="application/vnd.openxmlformats-officedocument.drawing+xml"/>
  <Override PartName="/xl/comments7.xml" ContentType="application/vnd.openxmlformats-officedocument.spreadsheetml.comments+xml"/>
  <Override PartName="/xl/threadedComments/threadedComment7.xml" ContentType="application/vnd.ms-excel.threadedcomments+xml"/>
  <Override PartName="/xl/drawings/drawing13.xml" ContentType="application/vnd.openxmlformats-officedocument.drawing+xml"/>
  <Override PartName="/xl/comments8.xml" ContentType="application/vnd.openxmlformats-officedocument.spreadsheetml.comments+xml"/>
  <Override PartName="/xl/threadedComments/threadedComment8.xml" ContentType="application/vnd.ms-excel.threadedcomments+xml"/>
  <Override PartName="/xl/drawings/drawing14.xml" ContentType="application/vnd.openxmlformats-officedocument.drawing+xml"/>
  <Override PartName="/xl/comments9.xml" ContentType="application/vnd.openxmlformats-officedocument.spreadsheetml.comments+xml"/>
  <Override PartName="/xl/threadedComments/threadedComment9.xml" ContentType="application/vnd.ms-excel.threadedcomments+xml"/>
  <Override PartName="/xl/drawings/drawing1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19"/>
  <workbookPr/>
  <mc:AlternateContent xmlns:mc="http://schemas.openxmlformats.org/markup-compatibility/2006">
    <mc:Choice Requires="x15">
      <x15ac:absPath xmlns:x15ac="http://schemas.microsoft.com/office/spreadsheetml/2010/11/ac" url="https://ieecp.sharepoint.com/sites/REGIO1ST/Shared Documents/WP2/T2.4_FrameworkImplementation/08_Cost-Benefit Analysis/"/>
    </mc:Choice>
  </mc:AlternateContent>
  <xr:revisionPtr revIDLastSave="0" documentId="8_{5C042F24-85EE-4C5A-ACF4-D7ADCD5F28F7}" xr6:coauthVersionLast="47" xr6:coauthVersionMax="47" xr10:uidLastSave="{00000000-0000-0000-0000-000000000000}"/>
  <bookViews>
    <workbookView xWindow="38280" yWindow="-120" windowWidth="29040" windowHeight="15720" tabRatio="945" firstSheet="23" activeTab="23" xr2:uid="{00000000-000D-0000-FFFF-FFFF00000000}"/>
  </bookViews>
  <sheets>
    <sheet name="Cover" sheetId="118" r:id="rId1"/>
    <sheet name="Instructions" sheetId="119" r:id="rId2"/>
    <sheet name="Energy prices" sheetId="105" r:id="rId3"/>
    <sheet name="Sc0-CBA" sheetId="103" r:id="rId4"/>
    <sheet name="Sc0-SCBA" sheetId="104" r:id="rId5"/>
    <sheet name="Sc1 Deep-CBA" sheetId="91" r:id="rId6"/>
    <sheet name="Sc1 Medium-CBA" sheetId="111" r:id="rId7"/>
    <sheet name="Sc1 Deep-SCBA" sheetId="88" r:id="rId8"/>
    <sheet name="Sc1 Medium-SCBA" sheetId="112" r:id="rId9"/>
    <sheet name="Sc2-CBA" sheetId="94" r:id="rId10"/>
    <sheet name="Sc2-SCBA" sheetId="95" r:id="rId11"/>
    <sheet name="Sc3 Deep-CBA" sheetId="113" r:id="rId12"/>
    <sheet name="Sc3 Medium-CBA" sheetId="114" r:id="rId13"/>
    <sheet name="Sc3 Deep-SCBA" sheetId="115" r:id="rId14"/>
    <sheet name="Sc3 Medium-SCBA" sheetId="116" r:id="rId15"/>
    <sheet name="Sc3-FA (2)" sheetId="106" state="hidden" r:id="rId16"/>
    <sheet name="Sc3-CBA (2)" sheetId="107" state="hidden" r:id="rId17"/>
    <sheet name="Sc4-FA" sheetId="99" state="hidden" r:id="rId18"/>
    <sheet name="Sc4-CBA" sheetId="100" state="hidden" r:id="rId19"/>
    <sheet name="Sc5-FA" sheetId="101" state="hidden" r:id="rId20"/>
    <sheet name="Sc5-CBA" sheetId="102" state="hidden" r:id="rId21"/>
    <sheet name="Ele prices" sheetId="93" state="hidden" r:id="rId22"/>
    <sheet name="NG prices" sheetId="92" state="hidden" r:id="rId23"/>
    <sheet name="externalities" sheetId="28" r:id="rId24"/>
    <sheet name="Conclusions" sheetId="117" r:id="rId25"/>
  </sheets>
  <definedNames>
    <definedName name="_List_Sector">#REF!</definedName>
    <definedName name="_Par_Gebäude_Abschreibungsdauer">#REF!</definedName>
    <definedName name="_Par_Gebäude_AußenwändeKorrekturfaktor">#REF!</definedName>
    <definedName name="_Par_Gebäude_Bilanzverfahren_Auswahl">#REF!</definedName>
    <definedName name="_Par_Gebäude_Bilanzverfahren_Liste" localSheetId="0">#REF!</definedName>
    <definedName name="_Par_Gebäude_Bilanzverfahren_Liste" localSheetId="1">#REF!</definedName>
    <definedName name="_Par_Gebäude_Bilanzverfahren_Liste">#REF!</definedName>
    <definedName name="_Par_Gebäude_Brennstoff_Liste_Referenz" localSheetId="0">#REF!</definedName>
    <definedName name="_Par_Gebäude_Brennstoff_Liste_Referenz" localSheetId="1">#REF!</definedName>
    <definedName name="_Par_Gebäude_Brennstoff_Liste_Referenz">#REF!</definedName>
    <definedName name="_Par_Gebäude_Brennstoff_Liste_Sanierung" localSheetId="0">#REF!</definedName>
    <definedName name="_Par_Gebäude_Brennstoff_Liste_Sanierung" localSheetId="1">#REF!</definedName>
    <definedName name="_Par_Gebäude_Brennstoff_Liste_Sanierung">#REF!</definedName>
    <definedName name="_Par_Gebäude_CO2Bepreisung">#REF!</definedName>
    <definedName name="_Par_Gebäude_CO2Preispfad">#REF!</definedName>
    <definedName name="_Par_Gebäude_Diskontsatz">#REF!</definedName>
    <definedName name="_Par_Gebäude_Emissionsbilanzierung">#REF!</definedName>
    <definedName name="_Par_Gebäude_Heizgrenztemperatur">#REF!</definedName>
    <definedName name="_Par_Gebäude_Heizlast">#REF!</definedName>
    <definedName name="_Par_Gebäude_Himmelsrichtungen">#REF!</definedName>
    <definedName name="_Par_Gebäude_Klimadatensatz_Auswahl">#REF!</definedName>
    <definedName name="_Par_Gebäude_Klimadatensatz_Liste" localSheetId="0">#REF!</definedName>
    <definedName name="_Par_Gebäude_Klimadatensatz_Liste" localSheetId="1">#REF!</definedName>
    <definedName name="_Par_Gebäude_Klimadatensatz_Liste">#REF!</definedName>
    <definedName name="_Par_Gebäude_OMDummy">#REF!</definedName>
    <definedName name="_Par_Gebäude_Sanierung_Fenster_Fenstergröße">#REF!</definedName>
    <definedName name="_Par_Gebäude_Sanierung_Fenster_Rahmenart" localSheetId="0">#REF!</definedName>
    <definedName name="_Par_Gebäude_Sanierung_Fenster_Rahmenart" localSheetId="1">#REF!</definedName>
    <definedName name="_Par_Gebäude_Sanierung_Fenster_Rahmenart">#REF!</definedName>
    <definedName name="_Par_Gebäude_Umweltkosten">#REF!</definedName>
    <definedName name="_Par_Gebude_Sanierung_Heiztechnologien_Liste" localSheetId="0">#REF!</definedName>
    <definedName name="_Par_Gebude_Sanierung_Heiztechnologien_Liste" localSheetId="1">#REF!</definedName>
    <definedName name="_Par_Gebude_Sanierung_Heiztechnologien_Liste">#REF!</definedName>
    <definedName name="_Par_Strom_Brennstoff_Liste" localSheetId="0">#REF!</definedName>
    <definedName name="_Par_Strom_Brennstoff_Liste" localSheetId="1">#REF!</definedName>
    <definedName name="_Par_Strom_Brennstoff_Liste">#REF!</definedName>
    <definedName name="_Par_Strom_CO2Preis">#REF!</definedName>
    <definedName name="_Par_Strom_Emissionsbilanzierung">#REF!</definedName>
    <definedName name="_Par_Strom_ETSGrenzwert">#REF!</definedName>
    <definedName name="_Par_Strom_Kapitalkosten">#REF!</definedName>
    <definedName name="_Par_Strom_Standort">#REF!</definedName>
    <definedName name="_Par_Strom_Startjahr">#REF!</definedName>
    <definedName name="_Par_Strom_Umweltkosten">#REF!</definedName>
    <definedName name="AbsCh1">#REF!</definedName>
    <definedName name="AbsCh11">#REF!</definedName>
    <definedName name="Action_Status">#REF!</definedName>
    <definedName name="ActionStatus">#REF!</definedName>
    <definedName name="AdaptationSectors">#REF!</definedName>
    <definedName name="AdaptationType">#REF!</definedName>
    <definedName name="AdaptChangeLevel">#REF!</definedName>
    <definedName name="AdaptIntensity">#REF!</definedName>
    <definedName name="AdaptIntensityRisks">#REF!</definedName>
    <definedName name="AdaptSectors">#REF!</definedName>
    <definedName name="AdaptSerioussness">#REF!</definedName>
    <definedName name="AdaptType">#REF!</definedName>
    <definedName name="Advanced_Refurbishment_InvestmentGemany2020_Floor">#REF!</definedName>
    <definedName name="Advanced_Refurbishment_InvestmentGemany2020_Roof">#REF!</definedName>
    <definedName name="Advanced_Refurbishment_InvestmentGemany2020_Wall">#REF!</definedName>
    <definedName name="Advanced_Refurbishment_InvestmentGemany2020_Window">#REF!</definedName>
    <definedName name="AnnualizedFactor_BiomassBoiler">#REF!</definedName>
    <definedName name="AnnualizedFactor_CombinedHeatAndPower">#REF!</definedName>
    <definedName name="AnnualizedFactor_DistrictHeating">#REF!</definedName>
    <definedName name="AnnualizedFactor_GasBoiler">#REF!</definedName>
    <definedName name="AnnualizedFactor_GroundSourceHeatPump">#REF!</definedName>
    <definedName name="AnnualizedFactor_HighEfficiencyHeatingPump">#REF!</definedName>
    <definedName name="Areaofintervention_A1">#REF!</definedName>
    <definedName name="Areaofintervention_A2">#REF!</definedName>
    <definedName name="Areaofintervention_A3">#REF!</definedName>
    <definedName name="Areaofintervention_A4">#REF!</definedName>
    <definedName name="Areaofintervention_A5">#REF!</definedName>
    <definedName name="Areaofintervention_A6">#REF!</definedName>
    <definedName name="Areaofintervention_A7">#REF!</definedName>
    <definedName name="AreaofinterventionA6">#REF!</definedName>
    <definedName name="AreaofinterventionA66">#REF!</definedName>
    <definedName name="base2013">#REF!</definedName>
    <definedName name="base2014">#REF!</definedName>
    <definedName name="base2016">#REF!</definedName>
    <definedName name="Base2020">#REF!</definedName>
    <definedName name="Base2030">#REF!</definedName>
    <definedName name="Baselong">#REF!</definedName>
    <definedName name="BasicDataOnBuildings">#REF!</definedName>
    <definedName name="BAUCh1">#REF!</definedName>
    <definedName name="BAUCh11">#REF!</definedName>
    <definedName name="BAUCh2">#REF!</definedName>
    <definedName name="BEIB1">#REF!</definedName>
    <definedName name="BEIB10">#REF!</definedName>
    <definedName name="BEIB2">#REF!</definedName>
    <definedName name="BEIB3">#REF!</definedName>
    <definedName name="BEIB4">#REF!</definedName>
    <definedName name="BEIB5">#REF!</definedName>
    <definedName name="BEIB6">#REF!</definedName>
    <definedName name="BEIB7">#REF!</definedName>
    <definedName name="BEIB8">#REF!</definedName>
    <definedName name="BEIB9">#REF!</definedName>
    <definedName name="BEIBall">#REF!</definedName>
    <definedName name="BEICh1">#REF!</definedName>
    <definedName name="BEICh2">#REF!</definedName>
    <definedName name="BEICh3">#REF!</definedName>
    <definedName name="BEICh4">#REF!</definedName>
    <definedName name="BEIs">#REF!</definedName>
    <definedName name="boe">#REF!</definedName>
    <definedName name="BuildingType">#REF!</definedName>
    <definedName name="ChangeLevel">#REF!</definedName>
    <definedName name="citizens">#REF!</definedName>
    <definedName name="Country_and_Year">#REF!</definedName>
    <definedName name="countrylist">#REF!</definedName>
    <definedName name="Dates">#REF!</definedName>
    <definedName name="day">#REF!</definedName>
    <definedName name="Decision_level">#REF!</definedName>
    <definedName name="DemandCountryPriceAdjustmentFactor">#REF!</definedName>
    <definedName name="DistrictHeatingCooling">#REF!</definedName>
    <definedName name="EdTot">#REF!</definedName>
    <definedName name="elec">#REF!</definedName>
    <definedName name="ElectricityProduction">#REF!</definedName>
    <definedName name="EnergyPrice">#REF!</definedName>
    <definedName name="Etagenheizung">#REF!</definedName>
    <definedName name="Etagenheizung_Sanierung_Heizen">#REF!</definedName>
    <definedName name="Etagenheizung_Sanierung_Warmwasser">#REF!</definedName>
    <definedName name="Etagenheizung2">#REF!</definedName>
    <definedName name="EURshow">#REF!</definedName>
    <definedName name="ExpectedChange">#REF!</definedName>
    <definedName name="FOV_Degree">#REF!</definedName>
    <definedName name="FOV_Existing">#REF!</definedName>
    <definedName name="FOV_Factors">#REF!</definedName>
    <definedName name="FOV_Influence">#REF!</definedName>
    <definedName name="FOV_Responsible">#REF!</definedName>
    <definedName name="FOV_Timeline">#REF!</definedName>
    <definedName name="FTEMshow">#REF!</definedName>
    <definedName name="FTEshow">#REF!</definedName>
    <definedName name="FuelCost">#REF!</definedName>
    <definedName name="HeatingSystemData">#REF!</definedName>
    <definedName name="Heizungstyp">#REF!</definedName>
    <definedName name="Holzrahmen">#REF!</definedName>
    <definedName name="id_energy_carrier">#REF!</definedName>
    <definedName name="id_region">#REF!</definedName>
    <definedName name="ind">#REF!</definedName>
    <definedName name="IntensityLevel">#REF!</definedName>
    <definedName name="IntensityRisks">#REF!</definedName>
    <definedName name="Key_achievement_A">#REF!</definedName>
    <definedName name="Key_achievement_n°_1">#REF!</definedName>
    <definedName name="KeyAction">#REF!</definedName>
    <definedName name="Kunststoffrahmen">#REF!</definedName>
    <definedName name="land">#REF!</definedName>
    <definedName name="LandUsePlanning">#REF!</definedName>
    <definedName name="langlist">#REF!</definedName>
    <definedName name="Language">#REF!</definedName>
    <definedName name="level">#REF!</definedName>
    <definedName name="level_inv">#REF!</definedName>
    <definedName name="LocCh">#REF!</definedName>
    <definedName name="LocChM">#REF!</definedName>
    <definedName name="Long_term_target_year">#REF!</definedName>
    <definedName name="mandat">#REF!</definedName>
    <definedName name="MEdToT">#REF!</definedName>
    <definedName name="MEICh3">#REF!</definedName>
    <definedName name="MEIs">#REF!</definedName>
    <definedName name="MEURshow">#REF!</definedName>
    <definedName name="monitoring">#REF!</definedName>
    <definedName name="month">#REF!</definedName>
    <definedName name="MSourceShow">#REF!</definedName>
    <definedName name="mun">#REF!</definedName>
    <definedName name="NEFEBEI">#REF!</definedName>
    <definedName name="NEFEMEI">#REF!</definedName>
    <definedName name="NonEn">#REF!</definedName>
    <definedName name="NPV_CO2EmissionCost">#REF!</definedName>
    <definedName name="Operation_maintenance_cost_BiomassBoiler">#REF!</definedName>
    <definedName name="Operation_maintenance_cost_Combined_Heat_and_Power">#REF!</definedName>
    <definedName name="Operation_maintenance_cost_District_heating">#REF!</definedName>
    <definedName name="Operation_maintenance_cost_GasBoiler">#REF!</definedName>
    <definedName name="Operation_maintenance_cost_Ground_Source_Heat_Pump">#REF!</definedName>
    <definedName name="Operation_maintenance_cost_High_efficiency_heat_pump">#REF!</definedName>
    <definedName name="option">#REF!</definedName>
    <definedName name="OthChM">#REF!</definedName>
    <definedName name="Outcome">#REF!</definedName>
    <definedName name="Passivhausrahmen">#REF!</definedName>
    <definedName name="PerCh2">#REF!</definedName>
    <definedName name="PI_B1">#REF!</definedName>
    <definedName name="PI_buildings">#REF!</definedName>
    <definedName name="policy">#REF!</definedName>
    <definedName name="Policy_buildings">#REF!</definedName>
    <definedName name="Policy_elec">#REF!</definedName>
    <definedName name="Policy_heat">#REF!</definedName>
    <definedName name="Policy_industry">#REF!</definedName>
    <definedName name="Policy_lighting">#REF!</definedName>
    <definedName name="Policy_other">#REF!</definedName>
    <definedName name="Policy_transport">#REF!</definedName>
    <definedName name="pp">#REF!</definedName>
    <definedName name="PrivCh">#REF!</definedName>
    <definedName name="PrivChM">#REF!</definedName>
    <definedName name="PubCh1M">#REF!</definedName>
    <definedName name="PubCh2M">#REF!</definedName>
    <definedName name="PubCh3M">#REF!</definedName>
    <definedName name="PubChM">#REF!</definedName>
    <definedName name="PublicProcurement">#REF!</definedName>
    <definedName name="Raumheizung">#REF!</definedName>
    <definedName name="Raumheizung2">#REF!</definedName>
    <definedName name="redtype">#REF!</definedName>
    <definedName name="referenceyears">#REF!</definedName>
    <definedName name="regions">#REF!</definedName>
    <definedName name="res">#REF!</definedName>
    <definedName name="S_Ch1">#REF!</definedName>
    <definedName name="S_Ch2">#REF!</definedName>
    <definedName name="S_Ch3">#REF!</definedName>
    <definedName name="S_Ch4">#REF!</definedName>
    <definedName name="S_Ch5">#REF!</definedName>
    <definedName name="Sectors">#REF!</definedName>
    <definedName name="Sectors2">#REF!</definedName>
    <definedName name="selectx">#REF!</definedName>
    <definedName name="selectxboe">#REF!</definedName>
    <definedName name="serioussness">#REF!</definedName>
    <definedName name="SourceShow">#REF!</definedName>
    <definedName name="status1">#REF!</definedName>
    <definedName name="Supply_EnergyPrice_CountryPriceAdjustmentFactor">#REF!</definedName>
    <definedName name="Supply_LaborCost_CountryPriceAdjustmentFactor">#REF!</definedName>
    <definedName name="Supply_Operation_maintenance_costFactor">#REF!</definedName>
    <definedName name="Supply_TheEffeciencyOfHeatPumpFactor">#REF!</definedName>
    <definedName name="TargetYear">#REF!</definedName>
    <definedName name="ter">#REF!</definedName>
    <definedName name="The_discount_rate">#REF!</definedName>
    <definedName name="TheAnnuityFactor_Floor">#REF!</definedName>
    <definedName name="TheAnnuityFactor_Roof">#REF!</definedName>
    <definedName name="TheAnnuityFactor_Wall">#REF!</definedName>
    <definedName name="TheAnnuityFactor_Window">#REF!</definedName>
    <definedName name="timefinal">#REF!</definedName>
    <definedName name="Timeframe">#REF!</definedName>
    <definedName name="timeframefinalboe">#REF!</definedName>
    <definedName name="timestart">#REF!</definedName>
    <definedName name="timestartboe">#REF!</definedName>
    <definedName name="trans">#REF!</definedName>
    <definedName name="transp">#REF!</definedName>
    <definedName name="Type">#REF!</definedName>
    <definedName name="UsualRefurbishment_InvestmentGemany2020_Floor">#REF!</definedName>
    <definedName name="UsualRefurbishment_InvestmentGemany2020_Roof">#REF!</definedName>
    <definedName name="UsualRefurbishment_InvestmentGemany2020_Wall">#REF!</definedName>
    <definedName name="UsualRefurbishment_InvestmentGemany2020_Window">#REF!</definedName>
    <definedName name="Vulnerability">#REF!</definedName>
    <definedName name="WorkingWithCitizens">#REF!</definedName>
    <definedName name="Year">#REF!</definedName>
    <definedName name="Year3">#REF!</definedName>
    <definedName name="YesNo">#REF!</definedName>
    <definedName name="Zentralheizung">#REF!</definedName>
    <definedName name="Zentralheizung_Sanierung_Heizen">#REF!</definedName>
    <definedName name="Zentralheizung_Sanierung_Warmwasser">#REF!</definedName>
    <definedName name="Zentralheizung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17" l="1"/>
  <c r="C79" i="116"/>
  <c r="C78" i="116"/>
  <c r="C77" i="116"/>
  <c r="C76" i="116"/>
  <c r="C75" i="116"/>
  <c r="C74" i="116"/>
  <c r="C73" i="116"/>
  <c r="C72" i="116"/>
  <c r="C71" i="116"/>
  <c r="C70" i="116"/>
  <c r="C69" i="116"/>
  <c r="C68" i="116"/>
  <c r="C67" i="116"/>
  <c r="C80" i="115"/>
  <c r="C79" i="115"/>
  <c r="C78" i="115"/>
  <c r="C77" i="115"/>
  <c r="C76" i="115"/>
  <c r="C75" i="115"/>
  <c r="C74" i="115"/>
  <c r="C73" i="115"/>
  <c r="C72" i="115"/>
  <c r="C71" i="115"/>
  <c r="C70" i="115"/>
  <c r="C69" i="115"/>
  <c r="C68" i="115"/>
  <c r="H44" i="116" l="1"/>
  <c r="H44" i="115"/>
  <c r="H44" i="114"/>
  <c r="H44" i="113"/>
  <c r="C9" i="119"/>
  <c r="I47" i="116"/>
  <c r="C41" i="116"/>
  <c r="C39" i="116"/>
  <c r="C16" i="116"/>
  <c r="C15" i="116"/>
  <c r="I47" i="115"/>
  <c r="C41" i="115"/>
  <c r="C39" i="115"/>
  <c r="C16" i="115"/>
  <c r="C15" i="115"/>
  <c r="I47" i="114"/>
  <c r="C41" i="114"/>
  <c r="C39" i="114"/>
  <c r="C16" i="114"/>
  <c r="C15" i="114"/>
  <c r="C41" i="113"/>
  <c r="C39" i="113"/>
  <c r="I47" i="113"/>
  <c r="I39" i="95"/>
  <c r="C18" i="95"/>
  <c r="C17" i="95"/>
  <c r="C10" i="95"/>
  <c r="I41" i="94"/>
  <c r="C19" i="94"/>
  <c r="C18" i="94"/>
  <c r="C37" i="112"/>
  <c r="C16" i="112"/>
  <c r="C15" i="112"/>
  <c r="C10" i="112"/>
  <c r="C37" i="88"/>
  <c r="C16" i="88"/>
  <c r="C15" i="88"/>
  <c r="C10" i="88"/>
  <c r="C38" i="111"/>
  <c r="C38" i="91"/>
  <c r="H37" i="104"/>
  <c r="C19" i="104"/>
  <c r="C15" i="104"/>
  <c r="H38" i="103" l="1"/>
  <c r="C28" i="113" l="1"/>
  <c r="B21" i="104" l="1"/>
  <c r="B62" i="114"/>
  <c r="B63" i="114"/>
  <c r="B64" i="114"/>
  <c r="B61" i="114"/>
  <c r="B62" i="113"/>
  <c r="B63" i="113"/>
  <c r="B64" i="113"/>
  <c r="B61" i="113"/>
  <c r="B49" i="94"/>
  <c r="B50" i="94"/>
  <c r="B51" i="94"/>
  <c r="B48" i="94"/>
  <c r="B49" i="111"/>
  <c r="B50" i="111"/>
  <c r="B51" i="111"/>
  <c r="B48" i="111"/>
  <c r="B49" i="91"/>
  <c r="B50" i="91"/>
  <c r="B51" i="91"/>
  <c r="B48" i="91"/>
  <c r="C40" i="116"/>
  <c r="B40" i="116"/>
  <c r="B43" i="116"/>
  <c r="B43" i="115"/>
  <c r="C40" i="115"/>
  <c r="B40" i="115"/>
  <c r="C40" i="114"/>
  <c r="B40" i="114"/>
  <c r="B43" i="114"/>
  <c r="C40" i="113"/>
  <c r="B40" i="113"/>
  <c r="B43" i="113"/>
  <c r="C15" i="95"/>
  <c r="B15" i="95"/>
  <c r="C16" i="94"/>
  <c r="B16" i="94"/>
  <c r="H36" i="95"/>
  <c r="B27" i="95"/>
  <c r="H38" i="94"/>
  <c r="B30" i="94"/>
  <c r="B34" i="112"/>
  <c r="B21" i="112"/>
  <c r="B34" i="88"/>
  <c r="B21" i="88"/>
  <c r="B35" i="111"/>
  <c r="B22" i="111"/>
  <c r="B35" i="91"/>
  <c r="B22" i="91"/>
  <c r="B26" i="104"/>
  <c r="G34" i="104"/>
  <c r="C18" i="104"/>
  <c r="B18" i="104"/>
  <c r="B23" i="116"/>
  <c r="B23" i="115"/>
  <c r="B22" i="114"/>
  <c r="B22" i="113"/>
  <c r="B16" i="95"/>
  <c r="B17" i="94"/>
  <c r="B16" i="104"/>
  <c r="H41" i="116"/>
  <c r="H41" i="115"/>
  <c r="H41" i="114"/>
  <c r="H41" i="113"/>
  <c r="H34" i="95"/>
  <c r="H36" i="94"/>
  <c r="B32" i="112"/>
  <c r="B32" i="88"/>
  <c r="B33" i="111"/>
  <c r="B33" i="91"/>
  <c r="G32" i="104"/>
  <c r="H43" i="116"/>
  <c r="H43" i="115"/>
  <c r="B33" i="114"/>
  <c r="H43" i="114"/>
  <c r="B45" i="113"/>
  <c r="H43" i="113"/>
  <c r="H35" i="95"/>
  <c r="B29" i="94"/>
  <c r="H37" i="94"/>
  <c r="B33" i="112"/>
  <c r="B20" i="88"/>
  <c r="B33" i="88"/>
  <c r="B21" i="111"/>
  <c r="B34" i="111"/>
  <c r="B21" i="91"/>
  <c r="B34" i="91"/>
  <c r="B25" i="104"/>
  <c r="B34" i="115" s="1"/>
  <c r="G33" i="104"/>
  <c r="F14" i="93"/>
  <c r="F13" i="93"/>
  <c r="F12" i="93"/>
  <c r="B20" i="112" l="1"/>
  <c r="B34" i="116"/>
  <c r="B26" i="95"/>
  <c r="C53" i="116"/>
  <c r="C54" i="115"/>
  <c r="C79" i="95"/>
  <c r="C79" i="112"/>
  <c r="C79" i="88"/>
  <c r="B79" i="116" l="1"/>
  <c r="B80" i="115"/>
  <c r="B59" i="95"/>
  <c r="B59" i="112"/>
  <c r="B59" i="88"/>
  <c r="C63" i="104"/>
  <c r="C59" i="95" s="1"/>
  <c r="C59" i="88" l="1"/>
  <c r="C59" i="112"/>
  <c r="C16" i="95"/>
  <c r="C17" i="94"/>
  <c r="C16" i="104"/>
  <c r="C42" i="116"/>
  <c r="B42" i="116"/>
  <c r="C42" i="115"/>
  <c r="B42" i="115"/>
  <c r="C42" i="114"/>
  <c r="B42" i="114"/>
  <c r="C42" i="113"/>
  <c r="B42" i="113"/>
  <c r="C19" i="95"/>
  <c r="B19" i="95"/>
  <c r="C20" i="94"/>
  <c r="B20" i="94"/>
  <c r="B23" i="104"/>
  <c r="C20" i="104"/>
  <c r="B20" i="104"/>
  <c r="C24" i="103"/>
  <c r="C23" i="104" s="1"/>
  <c r="C22" i="103"/>
  <c r="C18" i="116" l="1"/>
  <c r="B18" i="116"/>
  <c r="C18" i="115"/>
  <c r="B18" i="115"/>
  <c r="C18" i="114"/>
  <c r="B18" i="114"/>
  <c r="C58" i="95" l="1"/>
  <c r="C58" i="112" l="1"/>
  <c r="C58" i="88"/>
  <c r="C10" i="104"/>
  <c r="C62" i="104" l="1"/>
  <c r="I46" i="116" l="1"/>
  <c r="I45" i="116"/>
  <c r="I44" i="116"/>
  <c r="I43" i="116"/>
  <c r="I46" i="115"/>
  <c r="I45" i="115"/>
  <c r="I44" i="115"/>
  <c r="I43" i="115"/>
  <c r="I46" i="114"/>
  <c r="I45" i="114"/>
  <c r="I44" i="114"/>
  <c r="I43" i="114"/>
  <c r="I46" i="113"/>
  <c r="I45" i="113"/>
  <c r="I44" i="113"/>
  <c r="I43" i="113"/>
  <c r="C14" i="95"/>
  <c r="C13" i="95"/>
  <c r="I38" i="95"/>
  <c r="I37" i="95"/>
  <c r="I36" i="95"/>
  <c r="I35" i="95"/>
  <c r="I40" i="94"/>
  <c r="I39" i="94"/>
  <c r="I38" i="94"/>
  <c r="I37" i="94"/>
  <c r="C15" i="94"/>
  <c r="C14" i="94"/>
  <c r="C36" i="112"/>
  <c r="C35" i="112"/>
  <c r="C34" i="112"/>
  <c r="C33" i="112"/>
  <c r="C14" i="112"/>
  <c r="C13" i="112"/>
  <c r="C36" i="88"/>
  <c r="C35" i="88"/>
  <c r="C34" i="88"/>
  <c r="C33" i="88"/>
  <c r="C14" i="88"/>
  <c r="C13" i="88"/>
  <c r="C37" i="111"/>
  <c r="C36" i="111"/>
  <c r="C35" i="111"/>
  <c r="C34" i="111"/>
  <c r="C15" i="111"/>
  <c r="C14" i="111"/>
  <c r="C37" i="91"/>
  <c r="C36" i="91"/>
  <c r="C35" i="91"/>
  <c r="C34" i="91"/>
  <c r="C15" i="91"/>
  <c r="C14" i="91"/>
  <c r="C9" i="114"/>
  <c r="C9" i="113"/>
  <c r="C9" i="94"/>
  <c r="C9" i="111"/>
  <c r="C9" i="91"/>
  <c r="H36" i="104"/>
  <c r="H35" i="104"/>
  <c r="H34" i="104"/>
  <c r="H33" i="104"/>
  <c r="C14" i="104"/>
  <c r="C13" i="104"/>
  <c r="I40" i="95" l="1"/>
  <c r="I48" i="116"/>
  <c r="I48" i="115"/>
  <c r="C38" i="88"/>
  <c r="I42" i="94"/>
  <c r="C39" i="111"/>
  <c r="H38" i="104"/>
  <c r="I48" i="114"/>
  <c r="C39" i="91"/>
  <c r="C38" i="112"/>
  <c r="I48" i="113"/>
  <c r="C22" i="94"/>
  <c r="C44" i="116"/>
  <c r="C43" i="116"/>
  <c r="C44" i="115" l="1"/>
  <c r="C43" i="115"/>
  <c r="C44" i="114"/>
  <c r="C43" i="114"/>
  <c r="C61" i="114" s="1"/>
  <c r="C62" i="114" s="1"/>
  <c r="C63" i="114" s="1"/>
  <c r="C64" i="114" s="1"/>
  <c r="C44" i="113" l="1"/>
  <c r="C43" i="113"/>
  <c r="C61" i="113" s="1"/>
  <c r="C62" i="113" s="1"/>
  <c r="C63" i="113" s="1"/>
  <c r="C64" i="113" s="1"/>
  <c r="G18" i="95" l="1"/>
  <c r="H18" i="95"/>
  <c r="N22" i="95"/>
  <c r="N23" i="95" s="1"/>
  <c r="H22" i="95"/>
  <c r="G22" i="95"/>
  <c r="H21" i="95"/>
  <c r="G21" i="95"/>
  <c r="H20" i="95"/>
  <c r="G20" i="95"/>
  <c r="H19" i="95"/>
  <c r="G19" i="95"/>
  <c r="H17" i="95"/>
  <c r="G17" i="95"/>
  <c r="C57" i="95"/>
  <c r="C28" i="95"/>
  <c r="C27" i="95"/>
  <c r="L22" i="94"/>
  <c r="L23" i="94" s="1"/>
  <c r="H22" i="94"/>
  <c r="G22" i="94"/>
  <c r="H21" i="94"/>
  <c r="G21" i="94"/>
  <c r="H20" i="94"/>
  <c r="G20" i="94"/>
  <c r="H19" i="94"/>
  <c r="G19" i="94"/>
  <c r="C31" i="94"/>
  <c r="C30" i="94"/>
  <c r="C48" i="94" s="1"/>
  <c r="C49" i="94" s="1"/>
  <c r="C50" i="94" s="1"/>
  <c r="C51" i="94" s="1"/>
  <c r="I36" i="112"/>
  <c r="N36" i="112"/>
  <c r="G31" i="112"/>
  <c r="H31" i="112"/>
  <c r="G32" i="112"/>
  <c r="H32" i="112"/>
  <c r="G33" i="112"/>
  <c r="H33" i="112"/>
  <c r="G34" i="112"/>
  <c r="H34" i="112"/>
  <c r="G35" i="112"/>
  <c r="H35" i="112"/>
  <c r="G21" i="112"/>
  <c r="H21" i="112"/>
  <c r="G22" i="112"/>
  <c r="H22" i="112"/>
  <c r="C57" i="112"/>
  <c r="C22" i="112"/>
  <c r="C21" i="112"/>
  <c r="C18" i="112"/>
  <c r="I36" i="88"/>
  <c r="N36" i="88"/>
  <c r="G31" i="88" l="1"/>
  <c r="H31" i="88"/>
  <c r="G32" i="88"/>
  <c r="H32" i="88"/>
  <c r="G33" i="88"/>
  <c r="H33" i="88"/>
  <c r="G34" i="88"/>
  <c r="H34" i="88"/>
  <c r="G35" i="88"/>
  <c r="H35" i="88"/>
  <c r="G21" i="88"/>
  <c r="H21" i="88"/>
  <c r="G22" i="88"/>
  <c r="H22" i="88"/>
  <c r="C57" i="88"/>
  <c r="C22" i="88"/>
  <c r="C21" i="88"/>
  <c r="C18" i="88" l="1"/>
  <c r="I36" i="111"/>
  <c r="L36" i="111"/>
  <c r="G12" i="111"/>
  <c r="H12" i="111"/>
  <c r="G13" i="111"/>
  <c r="H13" i="111"/>
  <c r="G14" i="111"/>
  <c r="H14" i="111"/>
  <c r="G15" i="111"/>
  <c r="H15" i="111"/>
  <c r="G16" i="111"/>
  <c r="H16" i="111"/>
  <c r="G17" i="111"/>
  <c r="H17" i="111"/>
  <c r="G18" i="111"/>
  <c r="H18" i="111"/>
  <c r="G19" i="111"/>
  <c r="H19" i="111"/>
  <c r="G20" i="111"/>
  <c r="H20" i="111"/>
  <c r="G21" i="111"/>
  <c r="H21" i="111"/>
  <c r="G22" i="111"/>
  <c r="H22" i="111"/>
  <c r="G23" i="111"/>
  <c r="H23" i="111"/>
  <c r="G24" i="111"/>
  <c r="H24" i="111"/>
  <c r="G25" i="111"/>
  <c r="H25" i="111"/>
  <c r="G26" i="111"/>
  <c r="H26" i="111"/>
  <c r="G27" i="111"/>
  <c r="H27" i="111"/>
  <c r="G28" i="111"/>
  <c r="H28" i="111"/>
  <c r="G29" i="111"/>
  <c r="H29" i="111"/>
  <c r="G30" i="111"/>
  <c r="H30" i="111"/>
  <c r="G31" i="111"/>
  <c r="H31" i="111"/>
  <c r="G32" i="111"/>
  <c r="H32" i="111"/>
  <c r="G33" i="111"/>
  <c r="H33" i="111"/>
  <c r="G34" i="111"/>
  <c r="H34" i="111"/>
  <c r="G35" i="111"/>
  <c r="H35" i="111"/>
  <c r="C23" i="111"/>
  <c r="C22" i="111"/>
  <c r="C48" i="111" s="1"/>
  <c r="C49" i="111" s="1"/>
  <c r="C50" i="111" s="1"/>
  <c r="C51" i="111" s="1"/>
  <c r="C19" i="111"/>
  <c r="I36" i="91"/>
  <c r="L36" i="91"/>
  <c r="G32" i="91"/>
  <c r="H32" i="91"/>
  <c r="G33" i="91"/>
  <c r="H33" i="91"/>
  <c r="G34" i="91"/>
  <c r="H34" i="91"/>
  <c r="G35" i="91"/>
  <c r="H35" i="91"/>
  <c r="G22" i="91"/>
  <c r="H22" i="91"/>
  <c r="G23" i="91"/>
  <c r="H23" i="91"/>
  <c r="C23" i="91"/>
  <c r="C22" i="91"/>
  <c r="C48" i="91" s="1"/>
  <c r="C49" i="91" s="1"/>
  <c r="C50" i="91" s="1"/>
  <c r="C51" i="91" s="1"/>
  <c r="C19" i="91"/>
  <c r="C36" i="104" l="1"/>
  <c r="H12" i="104"/>
  <c r="H13" i="104"/>
  <c r="H14" i="104"/>
  <c r="H15" i="104"/>
  <c r="H16" i="104"/>
  <c r="H17" i="104"/>
  <c r="H18" i="104"/>
  <c r="H19" i="104"/>
  <c r="H20" i="104"/>
  <c r="H21" i="104"/>
  <c r="H22" i="104"/>
  <c r="H23" i="104"/>
  <c r="H24" i="104"/>
  <c r="H25" i="104"/>
  <c r="H11" i="104"/>
  <c r="C61" i="104"/>
  <c r="C31" i="104" l="1"/>
  <c r="C32" i="103"/>
  <c r="C26" i="104"/>
  <c r="C27" i="103"/>
  <c r="C22" i="104"/>
  <c r="C21" i="104"/>
  <c r="C23" i="103" l="1"/>
  <c r="C36" i="103"/>
  <c r="C18" i="103" l="1"/>
  <c r="C33" i="103" s="1"/>
  <c r="C54" i="103"/>
  <c r="C55" i="103" s="1"/>
  <c r="C56" i="103" s="1"/>
  <c r="C57" i="103" s="1"/>
  <c r="C35" i="103" l="1"/>
  <c r="C37" i="103" s="1"/>
  <c r="I8" i="117" s="1"/>
  <c r="C9" i="116"/>
  <c r="C9" i="115"/>
  <c r="C9" i="95"/>
  <c r="C9" i="112"/>
  <c r="C9" i="88"/>
  <c r="C9" i="104"/>
  <c r="N26" i="104"/>
  <c r="G25" i="104"/>
  <c r="L26" i="103" l="1"/>
  <c r="H25" i="103"/>
  <c r="G25" i="103"/>
  <c r="C26" i="116" l="1"/>
  <c r="C25" i="116"/>
  <c r="C24" i="116"/>
  <c r="C23" i="116"/>
  <c r="C22" i="116"/>
  <c r="C21" i="116"/>
  <c r="C12" i="116"/>
  <c r="C11" i="116"/>
  <c r="C26" i="115"/>
  <c r="C25" i="115"/>
  <c r="C24" i="115"/>
  <c r="C23" i="115"/>
  <c r="C22" i="115"/>
  <c r="C21" i="115"/>
  <c r="C12" i="115"/>
  <c r="C11" i="115"/>
  <c r="N35" i="115"/>
  <c r="N36" i="115" s="1"/>
  <c r="C25" i="114"/>
  <c r="C24" i="114"/>
  <c r="C23" i="114"/>
  <c r="C22" i="114"/>
  <c r="C21" i="114"/>
  <c r="C20" i="114"/>
  <c r="C12" i="114"/>
  <c r="C11" i="114"/>
  <c r="C17" i="116"/>
  <c r="C13" i="116" s="1"/>
  <c r="C17" i="115"/>
  <c r="C13" i="115" s="1"/>
  <c r="C54" i="114"/>
  <c r="C17" i="114" s="1"/>
  <c r="C13" i="114" s="1"/>
  <c r="C54" i="113"/>
  <c r="C17" i="113" s="1"/>
  <c r="C13" i="113" s="1"/>
  <c r="C25" i="113"/>
  <c r="C24" i="113"/>
  <c r="C23" i="113"/>
  <c r="C22" i="113"/>
  <c r="C21" i="113"/>
  <c r="C20" i="113"/>
  <c r="C12" i="113"/>
  <c r="C11" i="113"/>
  <c r="C29" i="116"/>
  <c r="C96" i="116"/>
  <c r="H35" i="116"/>
  <c r="H34" i="116"/>
  <c r="H33" i="116"/>
  <c r="H32" i="116"/>
  <c r="H31" i="116"/>
  <c r="H30" i="116"/>
  <c r="H29" i="116"/>
  <c r="H28" i="116"/>
  <c r="H27" i="116"/>
  <c r="H26" i="116"/>
  <c r="H25" i="116"/>
  <c r="H24" i="116"/>
  <c r="H23" i="116"/>
  <c r="H22" i="116"/>
  <c r="H21" i="116"/>
  <c r="H20" i="116"/>
  <c r="H19" i="116"/>
  <c r="H18" i="116"/>
  <c r="H17" i="116"/>
  <c r="H16" i="116"/>
  <c r="H15" i="116"/>
  <c r="H14" i="116"/>
  <c r="H13" i="116"/>
  <c r="H12" i="116"/>
  <c r="H11" i="116"/>
  <c r="C97" i="115"/>
  <c r="H35" i="115"/>
  <c r="H34" i="115"/>
  <c r="H33" i="115"/>
  <c r="H32" i="115"/>
  <c r="H31" i="115"/>
  <c r="H30" i="115"/>
  <c r="H29" i="115"/>
  <c r="H28" i="115"/>
  <c r="H27" i="115"/>
  <c r="H26" i="115"/>
  <c r="H25" i="115"/>
  <c r="H24" i="115"/>
  <c r="H23" i="115"/>
  <c r="H22" i="115"/>
  <c r="H21" i="115"/>
  <c r="H20" i="115"/>
  <c r="H19" i="115"/>
  <c r="H18" i="115"/>
  <c r="H17" i="115"/>
  <c r="H16" i="115"/>
  <c r="H15" i="115"/>
  <c r="H14" i="115"/>
  <c r="H13" i="115"/>
  <c r="H12" i="115"/>
  <c r="H11" i="115"/>
  <c r="H35" i="114"/>
  <c r="H34" i="114"/>
  <c r="H33" i="114"/>
  <c r="H32" i="114"/>
  <c r="H31" i="114"/>
  <c r="H30" i="114"/>
  <c r="H29" i="114"/>
  <c r="H28" i="114"/>
  <c r="H27" i="114"/>
  <c r="H26" i="114"/>
  <c r="H25" i="114"/>
  <c r="H24" i="114"/>
  <c r="H23" i="114"/>
  <c r="H22" i="114"/>
  <c r="H21" i="114"/>
  <c r="H20" i="114"/>
  <c r="H19" i="114"/>
  <c r="H18" i="114"/>
  <c r="H17" i="114"/>
  <c r="H16" i="114"/>
  <c r="H15" i="114"/>
  <c r="H14" i="114"/>
  <c r="H13" i="114"/>
  <c r="H12" i="114"/>
  <c r="H11" i="114"/>
  <c r="L35" i="113"/>
  <c r="L36" i="113" s="1"/>
  <c r="H35" i="113"/>
  <c r="H34" i="113"/>
  <c r="H33" i="113"/>
  <c r="H32" i="113"/>
  <c r="H31" i="113"/>
  <c r="H30" i="113"/>
  <c r="H29" i="113"/>
  <c r="H28" i="113"/>
  <c r="H27" i="113"/>
  <c r="H26" i="113"/>
  <c r="H25" i="113"/>
  <c r="H24" i="113"/>
  <c r="H23" i="113"/>
  <c r="H22" i="113"/>
  <c r="H21" i="113"/>
  <c r="H20" i="113"/>
  <c r="H19" i="113"/>
  <c r="H18" i="113"/>
  <c r="H17" i="113"/>
  <c r="H16" i="113"/>
  <c r="H15" i="113"/>
  <c r="H14" i="113"/>
  <c r="H13" i="113"/>
  <c r="H12" i="113"/>
  <c r="H11" i="113"/>
  <c r="C14" i="113" l="1"/>
  <c r="C19" i="113" s="1"/>
  <c r="C14" i="114"/>
  <c r="C19" i="114" s="1"/>
  <c r="C14" i="115"/>
  <c r="C20" i="115" s="1"/>
  <c r="C14" i="116"/>
  <c r="C20" i="116" s="1"/>
  <c r="K11" i="116" s="1"/>
  <c r="C28" i="114"/>
  <c r="H36" i="114"/>
  <c r="C26" i="113"/>
  <c r="C27" i="113"/>
  <c r="C29" i="113" s="1"/>
  <c r="C29" i="115"/>
  <c r="C27" i="115"/>
  <c r="C26" i="114"/>
  <c r="C27" i="116"/>
  <c r="N35" i="116"/>
  <c r="N36" i="116" s="1"/>
  <c r="H36" i="116"/>
  <c r="C28" i="116"/>
  <c r="C30" i="116" s="1"/>
  <c r="H36" i="115"/>
  <c r="C28" i="115"/>
  <c r="L35" i="114"/>
  <c r="L36" i="114" s="1"/>
  <c r="C27" i="114"/>
  <c r="H36" i="113"/>
  <c r="C29" i="114" l="1"/>
  <c r="K18" i="116"/>
  <c r="K16" i="116"/>
  <c r="K31" i="116"/>
  <c r="K33" i="116"/>
  <c r="K32" i="116"/>
  <c r="K22" i="116"/>
  <c r="K19" i="116"/>
  <c r="K23" i="116"/>
  <c r="K30" i="116"/>
  <c r="K25" i="116"/>
  <c r="K17" i="116"/>
  <c r="K35" i="116"/>
  <c r="K29" i="116"/>
  <c r="K21" i="116"/>
  <c r="K11" i="115"/>
  <c r="K15" i="116"/>
  <c r="K13" i="116"/>
  <c r="K27" i="116"/>
  <c r="K14" i="116"/>
  <c r="K28" i="116"/>
  <c r="K34" i="116"/>
  <c r="K24" i="116"/>
  <c r="K20" i="116"/>
  <c r="K26" i="116"/>
  <c r="K12" i="116"/>
  <c r="J13" i="117"/>
  <c r="K13" i="117" s="1"/>
  <c r="J12" i="117"/>
  <c r="K12" i="117" s="1"/>
  <c r="G11" i="113"/>
  <c r="C38" i="114"/>
  <c r="I13" i="117" s="1"/>
  <c r="C38" i="113"/>
  <c r="I12" i="117" s="1"/>
  <c r="G19" i="113"/>
  <c r="G30" i="113"/>
  <c r="G25" i="113"/>
  <c r="G15" i="113"/>
  <c r="G22" i="113"/>
  <c r="G13" i="113"/>
  <c r="G26" i="113"/>
  <c r="G16" i="113"/>
  <c r="G12" i="113"/>
  <c r="G33" i="113"/>
  <c r="G20" i="113"/>
  <c r="G21" i="113"/>
  <c r="G24" i="113"/>
  <c r="G23" i="113"/>
  <c r="G27" i="113"/>
  <c r="G35" i="113"/>
  <c r="G14" i="113"/>
  <c r="G28" i="113"/>
  <c r="G32" i="113"/>
  <c r="G17" i="113"/>
  <c r="G31" i="113"/>
  <c r="G18" i="113"/>
  <c r="G29" i="113"/>
  <c r="G34" i="113"/>
  <c r="G13" i="115"/>
  <c r="K28" i="115"/>
  <c r="G32" i="115"/>
  <c r="G20" i="115"/>
  <c r="G28" i="115"/>
  <c r="G17" i="115"/>
  <c r="K33" i="115"/>
  <c r="K25" i="115"/>
  <c r="K15" i="115"/>
  <c r="G22" i="115"/>
  <c r="G30" i="115"/>
  <c r="K32" i="115"/>
  <c r="G35" i="115"/>
  <c r="G34" i="115"/>
  <c r="K20" i="115"/>
  <c r="G23" i="115"/>
  <c r="K18" i="115"/>
  <c r="K31" i="115"/>
  <c r="K19" i="115"/>
  <c r="K23" i="115"/>
  <c r="K29" i="115"/>
  <c r="G24" i="115"/>
  <c r="K22" i="115"/>
  <c r="K16" i="115"/>
  <c r="K34" i="115"/>
  <c r="K13" i="115"/>
  <c r="K27" i="115"/>
  <c r="G11" i="115"/>
  <c r="C86" i="115" s="1"/>
  <c r="K24" i="115"/>
  <c r="K14" i="115"/>
  <c r="G18" i="115"/>
  <c r="G26" i="115"/>
  <c r="K12" i="115"/>
  <c r="K35" i="115"/>
  <c r="K17" i="115"/>
  <c r="K21" i="115"/>
  <c r="G25" i="115"/>
  <c r="G15" i="115"/>
  <c r="G12" i="115"/>
  <c r="K26" i="115"/>
  <c r="G31" i="115"/>
  <c r="G19" i="115"/>
  <c r="G27" i="115"/>
  <c r="G16" i="115"/>
  <c r="G14" i="115"/>
  <c r="K30" i="115"/>
  <c r="G33" i="115"/>
  <c r="G21" i="115"/>
  <c r="G29" i="115"/>
  <c r="G17" i="116"/>
  <c r="G16" i="116"/>
  <c r="G30" i="116"/>
  <c r="G29" i="116"/>
  <c r="G28" i="116"/>
  <c r="G27" i="116"/>
  <c r="G26" i="116"/>
  <c r="G25" i="116"/>
  <c r="G24" i="116"/>
  <c r="G23" i="116"/>
  <c r="G22" i="116"/>
  <c r="G21" i="116"/>
  <c r="G20" i="116"/>
  <c r="G19" i="116"/>
  <c r="G18" i="116"/>
  <c r="G33" i="116"/>
  <c r="G32" i="116"/>
  <c r="G31" i="116"/>
  <c r="G34" i="116"/>
  <c r="G35" i="116"/>
  <c r="G15" i="116"/>
  <c r="G14" i="116"/>
  <c r="G13" i="116"/>
  <c r="G12" i="116"/>
  <c r="G11" i="116"/>
  <c r="C30" i="115"/>
  <c r="G35" i="114"/>
  <c r="G29" i="114"/>
  <c r="G25" i="114"/>
  <c r="G21" i="114"/>
  <c r="G17" i="114"/>
  <c r="G14" i="114"/>
  <c r="G32" i="114"/>
  <c r="G33" i="114"/>
  <c r="G26" i="114"/>
  <c r="G22" i="114"/>
  <c r="G18" i="114"/>
  <c r="G11" i="114"/>
  <c r="G30" i="114"/>
  <c r="G15" i="114"/>
  <c r="G27" i="114"/>
  <c r="G23" i="114"/>
  <c r="G19" i="114"/>
  <c r="G12" i="114"/>
  <c r="G34" i="114"/>
  <c r="G31" i="114"/>
  <c r="G28" i="114"/>
  <c r="G24" i="114"/>
  <c r="G20" i="114"/>
  <c r="G16" i="114"/>
  <c r="G13" i="114"/>
  <c r="G36" i="113" l="1"/>
  <c r="K36" i="115"/>
  <c r="G36" i="115"/>
  <c r="K36" i="116"/>
  <c r="G36" i="116"/>
  <c r="C85" i="116"/>
  <c r="G36" i="114"/>
  <c r="C76" i="112" l="1"/>
  <c r="C56" i="112"/>
  <c r="C55" i="112"/>
  <c r="C54" i="112"/>
  <c r="C53" i="112"/>
  <c r="C52" i="112"/>
  <c r="C51" i="112"/>
  <c r="C50" i="112"/>
  <c r="C49" i="112"/>
  <c r="C48" i="112"/>
  <c r="H30" i="112"/>
  <c r="G30" i="112"/>
  <c r="H29" i="112"/>
  <c r="G29" i="112"/>
  <c r="H28" i="112"/>
  <c r="G28" i="112"/>
  <c r="H27" i="112"/>
  <c r="G27" i="112"/>
  <c r="H26" i="112"/>
  <c r="G26" i="112"/>
  <c r="H25" i="112"/>
  <c r="G25" i="112"/>
  <c r="H24" i="112"/>
  <c r="G24" i="112"/>
  <c r="H23" i="112"/>
  <c r="G23" i="112"/>
  <c r="H20" i="112"/>
  <c r="G20" i="112"/>
  <c r="H19" i="112"/>
  <c r="G19" i="112"/>
  <c r="H18" i="112"/>
  <c r="G18" i="112"/>
  <c r="H17" i="112"/>
  <c r="G17" i="112"/>
  <c r="C17" i="112"/>
  <c r="H16" i="112"/>
  <c r="G16" i="112"/>
  <c r="H15" i="112"/>
  <c r="G15" i="112"/>
  <c r="H14" i="112"/>
  <c r="G14" i="112"/>
  <c r="H13" i="112"/>
  <c r="G13" i="112"/>
  <c r="H12" i="112"/>
  <c r="G12" i="112"/>
  <c r="C12" i="112"/>
  <c r="H11" i="112"/>
  <c r="G11" i="112"/>
  <c r="G36" i="112" s="1"/>
  <c r="C18" i="111"/>
  <c r="H11" i="111"/>
  <c r="H36" i="111" s="1"/>
  <c r="G11" i="111"/>
  <c r="G36" i="111" s="1"/>
  <c r="C11" i="111"/>
  <c r="C13" i="111" s="1"/>
  <c r="H36" i="112" l="1"/>
  <c r="I10" i="117"/>
  <c r="K17" i="112"/>
  <c r="K25" i="112"/>
  <c r="K33" i="112"/>
  <c r="K18" i="112"/>
  <c r="K26" i="112"/>
  <c r="K34" i="112"/>
  <c r="K19" i="112"/>
  <c r="K27" i="112"/>
  <c r="K35" i="112"/>
  <c r="K14" i="112"/>
  <c r="K15" i="112"/>
  <c r="K23" i="112"/>
  <c r="K12" i="112"/>
  <c r="K20" i="112"/>
  <c r="K28" i="112"/>
  <c r="K11" i="112"/>
  <c r="K13" i="112"/>
  <c r="K21" i="112"/>
  <c r="K29" i="112"/>
  <c r="K22" i="112"/>
  <c r="K30" i="112"/>
  <c r="K31" i="112"/>
  <c r="K16" i="112"/>
  <c r="K24" i="112"/>
  <c r="K32" i="112"/>
  <c r="C65" i="112"/>
  <c r="K10" i="111"/>
  <c r="K36" i="111" s="1"/>
  <c r="J10" i="117"/>
  <c r="K10" i="117" s="1"/>
  <c r="M10" i="112"/>
  <c r="M36" i="112" s="1"/>
  <c r="K36" i="112" l="1"/>
  <c r="M10" i="111"/>
  <c r="H40" i="103" l="1"/>
  <c r="H41" i="103" l="1"/>
  <c r="F14" i="92" l="1"/>
  <c r="F15" i="92"/>
  <c r="F13" i="92"/>
  <c r="C33" i="104" l="1"/>
  <c r="C25" i="104"/>
  <c r="C26" i="103"/>
  <c r="C38" i="103"/>
  <c r="C50" i="103" s="1"/>
  <c r="C51" i="103" s="1"/>
  <c r="C52" i="103" s="1"/>
  <c r="C53" i="103" s="1"/>
  <c r="C33" i="113"/>
  <c r="G29" i="99"/>
  <c r="H29" i="99"/>
  <c r="K29" i="99"/>
  <c r="L29" i="99"/>
  <c r="G4" i="106"/>
  <c r="C7" i="107"/>
  <c r="C3" i="107"/>
  <c r="C9" i="102"/>
  <c r="C12" i="88"/>
  <c r="C6" i="100"/>
  <c r="C7" i="106"/>
  <c r="C4" i="107"/>
  <c r="C3" i="106"/>
  <c r="C4" i="106"/>
  <c r="G6" i="106"/>
  <c r="I29" i="107"/>
  <c r="N28" i="107"/>
  <c r="N29" i="107"/>
  <c r="H28" i="107"/>
  <c r="H27" i="107"/>
  <c r="H26" i="107"/>
  <c r="H25" i="107"/>
  <c r="H24" i="107"/>
  <c r="H23" i="107"/>
  <c r="H22" i="107"/>
  <c r="H21" i="107"/>
  <c r="H20" i="107"/>
  <c r="H19" i="107"/>
  <c r="H18" i="107"/>
  <c r="H17" i="107"/>
  <c r="H16" i="107"/>
  <c r="H15" i="107"/>
  <c r="H14" i="107"/>
  <c r="H13" i="107"/>
  <c r="H12" i="107"/>
  <c r="H11" i="107"/>
  <c r="H10" i="107"/>
  <c r="H9" i="107"/>
  <c r="H8" i="107"/>
  <c r="H7" i="107"/>
  <c r="H6" i="107"/>
  <c r="H5" i="107"/>
  <c r="H4" i="107"/>
  <c r="M3" i="107"/>
  <c r="M29" i="107"/>
  <c r="L29" i="106"/>
  <c r="I29" i="106"/>
  <c r="L28" i="106"/>
  <c r="H28" i="106"/>
  <c r="H27" i="106"/>
  <c r="H26" i="106"/>
  <c r="H25" i="106"/>
  <c r="H24" i="106"/>
  <c r="H23" i="106"/>
  <c r="H22" i="106"/>
  <c r="H21" i="106"/>
  <c r="H20" i="106"/>
  <c r="H19" i="106"/>
  <c r="H18" i="106"/>
  <c r="H17" i="106"/>
  <c r="H16" i="106"/>
  <c r="H15" i="106"/>
  <c r="H14" i="106"/>
  <c r="H13" i="106"/>
  <c r="H12" i="106"/>
  <c r="H11" i="106"/>
  <c r="H10" i="106"/>
  <c r="H9" i="106"/>
  <c r="H8" i="106"/>
  <c r="H7" i="106"/>
  <c r="H6" i="106"/>
  <c r="H5" i="106"/>
  <c r="H4" i="106"/>
  <c r="K3" i="106"/>
  <c r="K29" i="106"/>
  <c r="G6" i="107"/>
  <c r="G12" i="107"/>
  <c r="G18" i="107"/>
  <c r="G24" i="107"/>
  <c r="G4" i="107"/>
  <c r="G7" i="107"/>
  <c r="G13" i="107"/>
  <c r="G19" i="107"/>
  <c r="G25" i="107"/>
  <c r="G8" i="107"/>
  <c r="G14" i="107"/>
  <c r="G20" i="107"/>
  <c r="G26" i="107"/>
  <c r="G9" i="107"/>
  <c r="G15" i="107"/>
  <c r="G21" i="107"/>
  <c r="G27" i="107"/>
  <c r="G10" i="107"/>
  <c r="G16" i="107"/>
  <c r="G22" i="107"/>
  <c r="G28" i="107"/>
  <c r="G5" i="107"/>
  <c r="G11" i="107"/>
  <c r="G17" i="107"/>
  <c r="G23" i="107"/>
  <c r="G23" i="106"/>
  <c r="G17" i="106"/>
  <c r="G11" i="106"/>
  <c r="G5" i="106"/>
  <c r="G28" i="106"/>
  <c r="G22" i="106"/>
  <c r="G16" i="106"/>
  <c r="G10" i="106"/>
  <c r="G27" i="106"/>
  <c r="G21" i="106"/>
  <c r="G15" i="106"/>
  <c r="G9" i="106"/>
  <c r="G26" i="106"/>
  <c r="G20" i="106"/>
  <c r="G14" i="106"/>
  <c r="G8" i="106"/>
  <c r="G25" i="106"/>
  <c r="G19" i="106"/>
  <c r="G13" i="106"/>
  <c r="G7" i="106"/>
  <c r="O3" i="107"/>
  <c r="G24" i="106"/>
  <c r="G18" i="106"/>
  <c r="G12" i="106"/>
  <c r="H29" i="106"/>
  <c r="H29" i="107"/>
  <c r="M3" i="106"/>
  <c r="C5" i="101"/>
  <c r="M3" i="100"/>
  <c r="C17" i="99"/>
  <c r="C25" i="101"/>
  <c r="C20" i="99"/>
  <c r="C25" i="102"/>
  <c r="C15" i="102"/>
  <c r="C15" i="101"/>
  <c r="C11" i="100"/>
  <c r="C12" i="99"/>
  <c r="C10" i="107"/>
  <c r="C11" i="91"/>
  <c r="C13" i="91" s="1"/>
  <c r="J9" i="117" s="1"/>
  <c r="K9" i="117" s="1"/>
  <c r="C5" i="102"/>
  <c r="C7" i="102"/>
  <c r="C80" i="104"/>
  <c r="C60" i="104"/>
  <c r="C59" i="104"/>
  <c r="C58" i="104"/>
  <c r="C57" i="104"/>
  <c r="C56" i="104"/>
  <c r="C55" i="104"/>
  <c r="C54" i="104"/>
  <c r="C53" i="104"/>
  <c r="C52" i="104"/>
  <c r="G24" i="104"/>
  <c r="G23" i="104"/>
  <c r="G22" i="104"/>
  <c r="G21" i="104"/>
  <c r="G20" i="104"/>
  <c r="G19" i="104"/>
  <c r="G18" i="104"/>
  <c r="G17" i="104"/>
  <c r="C17" i="104"/>
  <c r="C32" i="104" s="1"/>
  <c r="G16" i="104"/>
  <c r="G15" i="104"/>
  <c r="G14" i="104"/>
  <c r="G13" i="104"/>
  <c r="G12" i="104"/>
  <c r="G11" i="104"/>
  <c r="H24" i="103"/>
  <c r="G24" i="103"/>
  <c r="H23" i="103"/>
  <c r="G23" i="103"/>
  <c r="H22" i="103"/>
  <c r="G22" i="103"/>
  <c r="H21" i="103"/>
  <c r="G21" i="103"/>
  <c r="H20" i="103"/>
  <c r="G20" i="103"/>
  <c r="H19" i="103"/>
  <c r="G19" i="103"/>
  <c r="H18" i="103"/>
  <c r="G18" i="103"/>
  <c r="H17" i="103"/>
  <c r="G17" i="103"/>
  <c r="H16" i="103"/>
  <c r="G16" i="103"/>
  <c r="H15" i="103"/>
  <c r="G15" i="103"/>
  <c r="H14" i="103"/>
  <c r="G14" i="103"/>
  <c r="H13" i="103"/>
  <c r="G13" i="103"/>
  <c r="H12" i="103"/>
  <c r="G12" i="103"/>
  <c r="H11" i="103"/>
  <c r="G11" i="103"/>
  <c r="C11" i="103"/>
  <c r="C63" i="100"/>
  <c r="C69" i="102"/>
  <c r="C76" i="95"/>
  <c r="C76" i="88"/>
  <c r="C23" i="102"/>
  <c r="M3" i="102"/>
  <c r="G7" i="102"/>
  <c r="G13" i="102"/>
  <c r="G19" i="102"/>
  <c r="G25" i="102"/>
  <c r="G8" i="102"/>
  <c r="G14" i="102"/>
  <c r="G20" i="102"/>
  <c r="G26" i="102"/>
  <c r="G9" i="102"/>
  <c r="G15" i="102"/>
  <c r="G21" i="102"/>
  <c r="G27" i="102"/>
  <c r="G10" i="102"/>
  <c r="G16" i="102"/>
  <c r="G22" i="102"/>
  <c r="G28" i="102"/>
  <c r="G5" i="102"/>
  <c r="G11" i="102"/>
  <c r="G17" i="102"/>
  <c r="G23" i="102"/>
  <c r="G4" i="102"/>
  <c r="G6" i="102"/>
  <c r="G12" i="102"/>
  <c r="G18" i="102"/>
  <c r="G24" i="102"/>
  <c r="G29" i="107"/>
  <c r="G29" i="106"/>
  <c r="C52" i="102"/>
  <c r="C51" i="102"/>
  <c r="C50" i="102"/>
  <c r="C49" i="102"/>
  <c r="K25" i="102" s="1"/>
  <c r="C48" i="102"/>
  <c r="C47" i="102"/>
  <c r="C46" i="102"/>
  <c r="C45" i="102"/>
  <c r="C44" i="102"/>
  <c r="N28" i="102"/>
  <c r="N29" i="102"/>
  <c r="H28" i="102"/>
  <c r="H27" i="102"/>
  <c r="H26" i="102"/>
  <c r="H25" i="102"/>
  <c r="H24" i="102"/>
  <c r="H23" i="102"/>
  <c r="H22" i="102"/>
  <c r="H21" i="102"/>
  <c r="H20" i="102"/>
  <c r="H19" i="102"/>
  <c r="H18" i="102"/>
  <c r="H17" i="102"/>
  <c r="H16" i="102"/>
  <c r="C19" i="102"/>
  <c r="H15" i="102"/>
  <c r="H14" i="102"/>
  <c r="H13" i="102"/>
  <c r="H12" i="102"/>
  <c r="H11" i="102"/>
  <c r="H10" i="102"/>
  <c r="H9" i="102"/>
  <c r="H8" i="102"/>
  <c r="H7" i="102"/>
  <c r="H6" i="102"/>
  <c r="H5" i="102"/>
  <c r="H4" i="102"/>
  <c r="C6" i="101"/>
  <c r="C10" i="101"/>
  <c r="L28" i="101"/>
  <c r="L29" i="101"/>
  <c r="H28" i="101"/>
  <c r="H27" i="101"/>
  <c r="H26" i="101"/>
  <c r="H25" i="101"/>
  <c r="H24" i="101"/>
  <c r="H23" i="101"/>
  <c r="H22" i="101"/>
  <c r="H21" i="101"/>
  <c r="H20" i="101"/>
  <c r="H19" i="101"/>
  <c r="H18" i="101"/>
  <c r="H17" i="101"/>
  <c r="C19" i="101"/>
  <c r="H16" i="101"/>
  <c r="H15" i="101"/>
  <c r="H14" i="101"/>
  <c r="H13" i="101"/>
  <c r="H12" i="101"/>
  <c r="H11" i="101"/>
  <c r="H10" i="101"/>
  <c r="H9" i="101"/>
  <c r="H8" i="101"/>
  <c r="H7" i="101"/>
  <c r="H6" i="101"/>
  <c r="H5" i="101"/>
  <c r="H4" i="101"/>
  <c r="C16" i="99"/>
  <c r="C46" i="100"/>
  <c r="C45" i="100"/>
  <c r="C44" i="100"/>
  <c r="C43" i="100"/>
  <c r="K16" i="100" s="1"/>
  <c r="C42" i="100"/>
  <c r="C41" i="100"/>
  <c r="C40" i="100"/>
  <c r="C39" i="100"/>
  <c r="C38" i="100"/>
  <c r="N28" i="100"/>
  <c r="N29" i="100"/>
  <c r="H28" i="100"/>
  <c r="G28" i="100"/>
  <c r="H27" i="100"/>
  <c r="G27" i="100"/>
  <c r="H26" i="100"/>
  <c r="G26" i="100"/>
  <c r="H25" i="100"/>
  <c r="G25" i="100"/>
  <c r="H24" i="100"/>
  <c r="G24" i="100"/>
  <c r="H23" i="100"/>
  <c r="G23" i="100"/>
  <c r="H22" i="100"/>
  <c r="G22" i="100"/>
  <c r="H21" i="100"/>
  <c r="G21" i="100"/>
  <c r="H20" i="100"/>
  <c r="G20" i="100"/>
  <c r="H19" i="100"/>
  <c r="G19" i="100"/>
  <c r="H18" i="100"/>
  <c r="G18" i="100"/>
  <c r="H17" i="100"/>
  <c r="G17" i="100"/>
  <c r="H16" i="100"/>
  <c r="G16" i="100"/>
  <c r="H15" i="100"/>
  <c r="G15" i="100"/>
  <c r="H14" i="100"/>
  <c r="G14" i="100"/>
  <c r="H13" i="100"/>
  <c r="G13" i="100"/>
  <c r="C15" i="100"/>
  <c r="H12" i="100"/>
  <c r="G12" i="100"/>
  <c r="H11" i="100"/>
  <c r="G11" i="100"/>
  <c r="H10" i="100"/>
  <c r="G10" i="100"/>
  <c r="H9" i="100"/>
  <c r="G9" i="100"/>
  <c r="H8" i="100"/>
  <c r="G8" i="100"/>
  <c r="H7" i="100"/>
  <c r="G7" i="100"/>
  <c r="H6" i="100"/>
  <c r="G6" i="100"/>
  <c r="H5" i="100"/>
  <c r="G5" i="100"/>
  <c r="H4" i="100"/>
  <c r="G4" i="100"/>
  <c r="C5" i="99"/>
  <c r="C7" i="99"/>
  <c r="L28" i="99"/>
  <c r="H28" i="99"/>
  <c r="G28" i="99"/>
  <c r="H27" i="99"/>
  <c r="G27" i="99"/>
  <c r="H26" i="99"/>
  <c r="G26" i="99"/>
  <c r="H25" i="99"/>
  <c r="G25" i="99"/>
  <c r="H24" i="99"/>
  <c r="G24" i="99"/>
  <c r="H23" i="99"/>
  <c r="G23" i="99"/>
  <c r="H22" i="99"/>
  <c r="G22" i="99"/>
  <c r="H21" i="99"/>
  <c r="G21" i="99"/>
  <c r="H20" i="99"/>
  <c r="G20" i="99"/>
  <c r="H19" i="99"/>
  <c r="G19" i="99"/>
  <c r="H18" i="99"/>
  <c r="G18" i="99"/>
  <c r="H17" i="99"/>
  <c r="G17" i="99"/>
  <c r="H16" i="99"/>
  <c r="G16" i="99"/>
  <c r="H15" i="99"/>
  <c r="G15" i="99"/>
  <c r="H14" i="99"/>
  <c r="G14" i="99"/>
  <c r="H13" i="99"/>
  <c r="G13" i="99"/>
  <c r="H12" i="99"/>
  <c r="G12" i="99"/>
  <c r="H11" i="99"/>
  <c r="G11" i="99"/>
  <c r="H10" i="99"/>
  <c r="G10" i="99"/>
  <c r="H9" i="99"/>
  <c r="G9" i="99"/>
  <c r="H8" i="99"/>
  <c r="G8" i="99"/>
  <c r="H7" i="99"/>
  <c r="G7" i="99"/>
  <c r="H6" i="99"/>
  <c r="G6" i="99"/>
  <c r="H5" i="99"/>
  <c r="G5" i="99"/>
  <c r="H4" i="99"/>
  <c r="G4" i="99"/>
  <c r="C48" i="95"/>
  <c r="C56" i="95"/>
  <c r="C55" i="95"/>
  <c r="C54" i="95"/>
  <c r="C30" i="107" s="1"/>
  <c r="C53" i="95"/>
  <c r="C52" i="95"/>
  <c r="C28" i="107" s="1"/>
  <c r="C51" i="95"/>
  <c r="C50" i="95"/>
  <c r="C49" i="95"/>
  <c r="C24" i="95"/>
  <c r="C23" i="95"/>
  <c r="H16" i="95"/>
  <c r="G16" i="95"/>
  <c r="H15" i="95"/>
  <c r="G15" i="95"/>
  <c r="H14" i="95"/>
  <c r="G14" i="95"/>
  <c r="H13" i="95"/>
  <c r="G13" i="95"/>
  <c r="H12" i="95"/>
  <c r="G12" i="95"/>
  <c r="C12" i="95"/>
  <c r="H11" i="95"/>
  <c r="G11" i="95"/>
  <c r="H18" i="94"/>
  <c r="G18" i="94"/>
  <c r="H17" i="94"/>
  <c r="G17" i="94"/>
  <c r="H16" i="94"/>
  <c r="G16" i="94"/>
  <c r="H15" i="94"/>
  <c r="G15" i="94"/>
  <c r="H14" i="94"/>
  <c r="G14" i="94"/>
  <c r="H13" i="94"/>
  <c r="G13" i="94"/>
  <c r="H12" i="94"/>
  <c r="G12" i="94"/>
  <c r="H11" i="94"/>
  <c r="G11" i="94"/>
  <c r="C11" i="94"/>
  <c r="C13" i="94" s="1"/>
  <c r="H31" i="91"/>
  <c r="G31" i="91"/>
  <c r="H30" i="91"/>
  <c r="G30" i="91"/>
  <c r="H29" i="91"/>
  <c r="G29" i="91"/>
  <c r="H28" i="91"/>
  <c r="G28" i="91"/>
  <c r="H27" i="91"/>
  <c r="G27" i="91"/>
  <c r="H26" i="91"/>
  <c r="G26" i="91"/>
  <c r="H25" i="91"/>
  <c r="G25" i="91"/>
  <c r="H24" i="91"/>
  <c r="G24" i="91"/>
  <c r="H21" i="91"/>
  <c r="G21" i="91"/>
  <c r="H20" i="91"/>
  <c r="G20" i="91"/>
  <c r="H19" i="91"/>
  <c r="G19" i="91"/>
  <c r="H18" i="91"/>
  <c r="G18" i="91"/>
  <c r="H17" i="91"/>
  <c r="G17" i="91"/>
  <c r="C18" i="91"/>
  <c r="I9" i="117" s="1"/>
  <c r="H16" i="91"/>
  <c r="G16" i="91"/>
  <c r="H15" i="91"/>
  <c r="G15" i="91"/>
  <c r="H14" i="91"/>
  <c r="G14" i="91"/>
  <c r="H13" i="91"/>
  <c r="G13" i="91"/>
  <c r="H12" i="91"/>
  <c r="G12" i="91"/>
  <c r="H11" i="91"/>
  <c r="G11" i="91"/>
  <c r="C17" i="88"/>
  <c r="G12" i="88"/>
  <c r="H12" i="88"/>
  <c r="G13" i="88"/>
  <c r="H13" i="88"/>
  <c r="G14" i="88"/>
  <c r="H14" i="88"/>
  <c r="G15" i="88"/>
  <c r="H15" i="88"/>
  <c r="G16" i="88"/>
  <c r="H16" i="88"/>
  <c r="G17" i="88"/>
  <c r="H17" i="88"/>
  <c r="G18" i="88"/>
  <c r="H18" i="88"/>
  <c r="G19" i="88"/>
  <c r="H19" i="88"/>
  <c r="G20" i="88"/>
  <c r="H20" i="88"/>
  <c r="G23" i="88"/>
  <c r="H23" i="88"/>
  <c r="G24" i="88"/>
  <c r="H24" i="88"/>
  <c r="G25" i="88"/>
  <c r="H25" i="88"/>
  <c r="G26" i="88"/>
  <c r="H26" i="88"/>
  <c r="G27" i="88"/>
  <c r="H27" i="88"/>
  <c r="G28" i="88"/>
  <c r="H28" i="88"/>
  <c r="G29" i="88"/>
  <c r="H29" i="88"/>
  <c r="G30" i="88"/>
  <c r="H30" i="88"/>
  <c r="H11" i="88"/>
  <c r="G11" i="88"/>
  <c r="C56" i="88"/>
  <c r="C55" i="88"/>
  <c r="C54" i="88"/>
  <c r="C53" i="88"/>
  <c r="C52" i="88"/>
  <c r="C51" i="88"/>
  <c r="C50" i="88"/>
  <c r="C49" i="88"/>
  <c r="C48" i="88"/>
  <c r="C58" i="102"/>
  <c r="K3" i="101"/>
  <c r="G6" i="101"/>
  <c r="G10" i="101"/>
  <c r="G14" i="101"/>
  <c r="G18" i="101"/>
  <c r="G22" i="101"/>
  <c r="G26" i="101"/>
  <c r="G7" i="101"/>
  <c r="G11" i="101"/>
  <c r="G15" i="101"/>
  <c r="G19" i="101"/>
  <c r="G23" i="101"/>
  <c r="G27" i="101"/>
  <c r="G8" i="101"/>
  <c r="G12" i="101"/>
  <c r="G16" i="101"/>
  <c r="G20" i="101"/>
  <c r="G24" i="101"/>
  <c r="G28" i="101"/>
  <c r="G5" i="101"/>
  <c r="G9" i="101"/>
  <c r="G13" i="101"/>
  <c r="G17" i="101"/>
  <c r="G21" i="101"/>
  <c r="G25" i="101"/>
  <c r="G4" i="101"/>
  <c r="C20" i="101"/>
  <c r="C21" i="101"/>
  <c r="C16" i="100"/>
  <c r="M29" i="102"/>
  <c r="C20" i="102"/>
  <c r="C21" i="102"/>
  <c r="H29" i="102"/>
  <c r="H29" i="101"/>
  <c r="K3" i="99"/>
  <c r="M3" i="99"/>
  <c r="M29" i="100"/>
  <c r="G29" i="100"/>
  <c r="H29" i="100"/>
  <c r="C52" i="100"/>
  <c r="G29" i="101"/>
  <c r="G29" i="102"/>
  <c r="K29" i="101"/>
  <c r="M3" i="101"/>
  <c r="C11" i="28"/>
  <c r="C12" i="28"/>
  <c r="L10" i="104"/>
  <c r="L10" i="95"/>
  <c r="F41" i="28"/>
  <c r="F38" i="28"/>
  <c r="K11" i="100" l="1"/>
  <c r="K5" i="100"/>
  <c r="K27" i="100"/>
  <c r="K28" i="100"/>
  <c r="K20" i="100"/>
  <c r="K14" i="100"/>
  <c r="C45" i="113"/>
  <c r="C21" i="111"/>
  <c r="C44" i="111" s="1"/>
  <c r="C21" i="91"/>
  <c r="C44" i="91" s="1"/>
  <c r="C33" i="114"/>
  <c r="C57" i="114" s="1"/>
  <c r="C29" i="94"/>
  <c r="C44" i="94" s="1"/>
  <c r="C26" i="95"/>
  <c r="C34" i="115"/>
  <c r="C20" i="112"/>
  <c r="C34" i="116"/>
  <c r="C20" i="88"/>
  <c r="G36" i="91"/>
  <c r="H36" i="91"/>
  <c r="K14" i="95"/>
  <c r="K22" i="95"/>
  <c r="K15" i="95"/>
  <c r="K11" i="95"/>
  <c r="K16" i="95"/>
  <c r="K19" i="95"/>
  <c r="K12" i="95"/>
  <c r="K17" i="95"/>
  <c r="K18" i="95"/>
  <c r="K20" i="95"/>
  <c r="K13" i="95"/>
  <c r="K21" i="95"/>
  <c r="K15" i="88"/>
  <c r="K23" i="88"/>
  <c r="K16" i="88"/>
  <c r="K24" i="88"/>
  <c r="K32" i="88"/>
  <c r="K17" i="88"/>
  <c r="K25" i="88"/>
  <c r="K33" i="88"/>
  <c r="K12" i="88"/>
  <c r="K28" i="88"/>
  <c r="K13" i="88"/>
  <c r="K21" i="88"/>
  <c r="K18" i="88"/>
  <c r="K26" i="88"/>
  <c r="K34" i="88"/>
  <c r="K19" i="88"/>
  <c r="K27" i="88"/>
  <c r="K35" i="88"/>
  <c r="K20" i="88"/>
  <c r="K11" i="88"/>
  <c r="K29" i="88"/>
  <c r="K14" i="88"/>
  <c r="K22" i="88"/>
  <c r="K30" i="88"/>
  <c r="K31" i="88"/>
  <c r="K19" i="100"/>
  <c r="K21" i="100"/>
  <c r="K26" i="102"/>
  <c r="K28" i="102"/>
  <c r="K24" i="100"/>
  <c r="K15" i="100"/>
  <c r="K24" i="102"/>
  <c r="C24" i="107"/>
  <c r="K5" i="102"/>
  <c r="K6" i="100"/>
  <c r="K22" i="100"/>
  <c r="K7" i="100"/>
  <c r="K10" i="100"/>
  <c r="C35" i="104"/>
  <c r="C37" i="104" s="1"/>
  <c r="G23" i="95"/>
  <c r="H23" i="95"/>
  <c r="G36" i="88"/>
  <c r="H36" i="88"/>
  <c r="C17" i="100"/>
  <c r="I10" i="100" s="1"/>
  <c r="C31" i="116"/>
  <c r="C31" i="115"/>
  <c r="C25" i="95"/>
  <c r="C19" i="112"/>
  <c r="C19" i="88"/>
  <c r="C24" i="104"/>
  <c r="C30" i="113"/>
  <c r="C30" i="114"/>
  <c r="C20" i="111"/>
  <c r="C57" i="113"/>
  <c r="G23" i="94"/>
  <c r="H23" i="94"/>
  <c r="C29" i="107"/>
  <c r="C65" i="95"/>
  <c r="C26" i="107"/>
  <c r="L15" i="107"/>
  <c r="L13" i="107"/>
  <c r="L27" i="107"/>
  <c r="L17" i="107"/>
  <c r="L19" i="107"/>
  <c r="L10" i="107"/>
  <c r="L26" i="107"/>
  <c r="L18" i="107"/>
  <c r="L5" i="107"/>
  <c r="L11" i="107"/>
  <c r="L8" i="107"/>
  <c r="L4" i="107"/>
  <c r="L23" i="107"/>
  <c r="L25" i="107"/>
  <c r="L14" i="107"/>
  <c r="L6" i="107"/>
  <c r="L22" i="107"/>
  <c r="L9" i="107"/>
  <c r="L28" i="107"/>
  <c r="L24" i="107"/>
  <c r="L7" i="107"/>
  <c r="L21" i="107"/>
  <c r="L20" i="107"/>
  <c r="L16" i="107"/>
  <c r="L12" i="107"/>
  <c r="C65" i="88"/>
  <c r="G26" i="104"/>
  <c r="C69" i="104"/>
  <c r="H26" i="104"/>
  <c r="G26" i="103"/>
  <c r="H26" i="103"/>
  <c r="J11" i="117"/>
  <c r="K11" i="117" s="1"/>
  <c r="K10" i="91"/>
  <c r="C13" i="103"/>
  <c r="C12" i="94"/>
  <c r="K10" i="94" s="1"/>
  <c r="K23" i="94" s="1"/>
  <c r="C11" i="95"/>
  <c r="M10" i="95" s="1"/>
  <c r="M23" i="95" s="1"/>
  <c r="K27" i="102"/>
  <c r="K4" i="102"/>
  <c r="C27" i="107"/>
  <c r="K20" i="102"/>
  <c r="K23" i="102"/>
  <c r="K22" i="102"/>
  <c r="K16" i="102"/>
  <c r="K19" i="102"/>
  <c r="K18" i="102"/>
  <c r="K12" i="102"/>
  <c r="K15" i="102"/>
  <c r="K14" i="102"/>
  <c r="K8" i="102"/>
  <c r="K11" i="102"/>
  <c r="K10" i="102"/>
  <c r="K25" i="100"/>
  <c r="K8" i="100"/>
  <c r="K12" i="100"/>
  <c r="K9" i="100"/>
  <c r="K17" i="102"/>
  <c r="K21" i="102"/>
  <c r="K7" i="102"/>
  <c r="K6" i="102"/>
  <c r="K13" i="100"/>
  <c r="K4" i="100"/>
  <c r="K23" i="100"/>
  <c r="K9" i="102"/>
  <c r="K13" i="102"/>
  <c r="K26" i="100"/>
  <c r="K18" i="100"/>
  <c r="K17" i="100"/>
  <c r="M10" i="88"/>
  <c r="M36" i="88" s="1"/>
  <c r="C31" i="107"/>
  <c r="C32" i="107"/>
  <c r="C25" i="107"/>
  <c r="C19" i="100"/>
  <c r="C28" i="94"/>
  <c r="C25" i="103"/>
  <c r="C9" i="106"/>
  <c r="J12" i="106" s="1"/>
  <c r="M12" i="106" s="1"/>
  <c r="C18" i="99"/>
  <c r="I26" i="99" s="1"/>
  <c r="C22" i="101"/>
  <c r="C20" i="91"/>
  <c r="C22" i="102"/>
  <c r="C9" i="107"/>
  <c r="J11" i="91" l="1"/>
  <c r="J16" i="112"/>
  <c r="L16" i="112" s="1"/>
  <c r="O16" i="112" s="1"/>
  <c r="J12" i="94"/>
  <c r="J11" i="88"/>
  <c r="L11" i="88" s="1"/>
  <c r="I28" i="100"/>
  <c r="I21" i="100"/>
  <c r="I22" i="100"/>
  <c r="I11" i="100"/>
  <c r="I24" i="100"/>
  <c r="I9" i="100"/>
  <c r="I8" i="100"/>
  <c r="I4" i="100"/>
  <c r="I12" i="100"/>
  <c r="I5" i="100"/>
  <c r="I6" i="100"/>
  <c r="I23" i="100"/>
  <c r="I16" i="100"/>
  <c r="I17" i="100"/>
  <c r="I18" i="100"/>
  <c r="J16" i="88"/>
  <c r="L16" i="88" s="1"/>
  <c r="I7" i="100"/>
  <c r="I27" i="100"/>
  <c r="I14" i="100"/>
  <c r="I15" i="100"/>
  <c r="I26" i="100"/>
  <c r="I25" i="100"/>
  <c r="I20" i="100"/>
  <c r="I19" i="100"/>
  <c r="I13" i="100"/>
  <c r="I11" i="113"/>
  <c r="I11" i="94"/>
  <c r="J11" i="94"/>
  <c r="J31" i="88"/>
  <c r="L31" i="88" s="1"/>
  <c r="J12" i="111"/>
  <c r="M12" i="111" s="1"/>
  <c r="J11" i="111"/>
  <c r="M11" i="111" s="1"/>
  <c r="C45" i="94"/>
  <c r="J13" i="94"/>
  <c r="J11" i="103"/>
  <c r="I11" i="103"/>
  <c r="I34" i="114"/>
  <c r="I15" i="114"/>
  <c r="I21" i="114"/>
  <c r="I35" i="114"/>
  <c r="I23" i="114"/>
  <c r="I31" i="114"/>
  <c r="I25" i="114"/>
  <c r="I27" i="114"/>
  <c r="I28" i="114"/>
  <c r="I18" i="114"/>
  <c r="I19" i="114"/>
  <c r="I30" i="114"/>
  <c r="I29" i="114"/>
  <c r="I24" i="114"/>
  <c r="I20" i="114"/>
  <c r="I16" i="114"/>
  <c r="I17" i="114"/>
  <c r="I13" i="114"/>
  <c r="I12" i="114"/>
  <c r="I22" i="114"/>
  <c r="I11" i="114"/>
  <c r="I26" i="114"/>
  <c r="I14" i="114"/>
  <c r="I33" i="114"/>
  <c r="I32" i="114"/>
  <c r="I29" i="113"/>
  <c r="I17" i="113"/>
  <c r="I21" i="113"/>
  <c r="I20" i="113"/>
  <c r="I32" i="113"/>
  <c r="I18" i="113"/>
  <c r="I34" i="113"/>
  <c r="I13" i="113"/>
  <c r="I14" i="113"/>
  <c r="I28" i="113"/>
  <c r="I30" i="113"/>
  <c r="I26" i="113"/>
  <c r="I27" i="113"/>
  <c r="I31" i="113"/>
  <c r="I12" i="113"/>
  <c r="I25" i="113"/>
  <c r="I24" i="113"/>
  <c r="I22" i="113"/>
  <c r="I19" i="113"/>
  <c r="I15" i="113"/>
  <c r="I33" i="113"/>
  <c r="I23" i="113"/>
  <c r="I16" i="113"/>
  <c r="I35" i="113"/>
  <c r="I26" i="116"/>
  <c r="I29" i="116"/>
  <c r="I22" i="116"/>
  <c r="I12" i="116"/>
  <c r="I20" i="116"/>
  <c r="I11" i="116"/>
  <c r="I34" i="116"/>
  <c r="I14" i="116"/>
  <c r="I31" i="116"/>
  <c r="I19" i="116"/>
  <c r="I16" i="116"/>
  <c r="I33" i="116"/>
  <c r="I17" i="116"/>
  <c r="I18" i="116"/>
  <c r="I32" i="116"/>
  <c r="I24" i="116"/>
  <c r="I35" i="116"/>
  <c r="I13" i="116"/>
  <c r="I23" i="116"/>
  <c r="I27" i="116"/>
  <c r="I21" i="116"/>
  <c r="I15" i="116"/>
  <c r="I25" i="116"/>
  <c r="I30" i="116"/>
  <c r="I28" i="116"/>
  <c r="I15" i="115"/>
  <c r="I26" i="115"/>
  <c r="I24" i="115"/>
  <c r="I11" i="115"/>
  <c r="I19" i="115"/>
  <c r="I28" i="115"/>
  <c r="I25" i="115"/>
  <c r="I33" i="115"/>
  <c r="I32" i="115"/>
  <c r="I35" i="115"/>
  <c r="I12" i="115"/>
  <c r="I31" i="115"/>
  <c r="I23" i="115"/>
  <c r="I30" i="115"/>
  <c r="I21" i="115"/>
  <c r="I18" i="115"/>
  <c r="I34" i="115"/>
  <c r="I16" i="115"/>
  <c r="I22" i="115"/>
  <c r="I14" i="115"/>
  <c r="I20" i="115"/>
  <c r="I13" i="115"/>
  <c r="I27" i="115"/>
  <c r="I29" i="115"/>
  <c r="I17" i="115"/>
  <c r="I18" i="95"/>
  <c r="I14" i="95"/>
  <c r="I12" i="95"/>
  <c r="I20" i="95"/>
  <c r="I16" i="95"/>
  <c r="I19" i="95"/>
  <c r="I13" i="95"/>
  <c r="I22" i="95"/>
  <c r="I11" i="95"/>
  <c r="I17" i="95"/>
  <c r="I15" i="95"/>
  <c r="I21" i="95"/>
  <c r="J20" i="95"/>
  <c r="J18" i="95"/>
  <c r="J12" i="95"/>
  <c r="J15" i="95"/>
  <c r="J19" i="95"/>
  <c r="J22" i="95"/>
  <c r="J13" i="95"/>
  <c r="J14" i="95"/>
  <c r="J11" i="95"/>
  <c r="J16" i="95"/>
  <c r="J21" i="95"/>
  <c r="J17" i="95"/>
  <c r="I12" i="94"/>
  <c r="I15" i="94"/>
  <c r="I14" i="94"/>
  <c r="I17" i="94"/>
  <c r="I20" i="94"/>
  <c r="I13" i="94"/>
  <c r="I18" i="94"/>
  <c r="I22" i="94"/>
  <c r="I21" i="94"/>
  <c r="I19" i="94"/>
  <c r="I16" i="94"/>
  <c r="I24" i="103"/>
  <c r="I19" i="103"/>
  <c r="I23" i="103"/>
  <c r="I17" i="103"/>
  <c r="I14" i="103"/>
  <c r="I15" i="103"/>
  <c r="I22" i="103"/>
  <c r="I21" i="103"/>
  <c r="I25" i="103"/>
  <c r="I20" i="103"/>
  <c r="I16" i="103"/>
  <c r="I12" i="103"/>
  <c r="I18" i="103"/>
  <c r="I13" i="103"/>
  <c r="J24" i="112"/>
  <c r="L24" i="112" s="1"/>
  <c r="J14" i="112"/>
  <c r="L14" i="112" s="1"/>
  <c r="J28" i="112"/>
  <c r="L28" i="112" s="1"/>
  <c r="J29" i="112"/>
  <c r="L29" i="112" s="1"/>
  <c r="J18" i="112"/>
  <c r="L18" i="112" s="1"/>
  <c r="J26" i="112"/>
  <c r="J35" i="88"/>
  <c r="L35" i="88" s="1"/>
  <c r="J12" i="103"/>
  <c r="K23" i="95"/>
  <c r="M10" i="91"/>
  <c r="K36" i="91"/>
  <c r="K36" i="88"/>
  <c r="J15" i="88"/>
  <c r="L15" i="88" s="1"/>
  <c r="J19" i="112"/>
  <c r="L19" i="112" s="1"/>
  <c r="J17" i="112"/>
  <c r="L17" i="112" s="1"/>
  <c r="J31" i="112"/>
  <c r="L31" i="112" s="1"/>
  <c r="J12" i="112"/>
  <c r="L12" i="112" s="1"/>
  <c r="J26" i="88"/>
  <c r="L26" i="88" s="1"/>
  <c r="J32" i="88"/>
  <c r="L32" i="88" s="1"/>
  <c r="J21" i="88"/>
  <c r="L21" i="88" s="1"/>
  <c r="C32" i="113"/>
  <c r="J11" i="113" s="1"/>
  <c r="J11" i="112"/>
  <c r="L11" i="112" s="1"/>
  <c r="J35" i="112"/>
  <c r="L35" i="112" s="1"/>
  <c r="J21" i="112"/>
  <c r="L21" i="112" s="1"/>
  <c r="J17" i="88"/>
  <c r="L17" i="88" s="1"/>
  <c r="J24" i="88"/>
  <c r="L24" i="88" s="1"/>
  <c r="J13" i="88"/>
  <c r="L13" i="88" s="1"/>
  <c r="J33" i="88"/>
  <c r="L33" i="88" s="1"/>
  <c r="J15" i="112"/>
  <c r="L15" i="112" s="1"/>
  <c r="J20" i="112"/>
  <c r="L20" i="112" s="1"/>
  <c r="J23" i="112"/>
  <c r="L23" i="112" s="1"/>
  <c r="J12" i="91"/>
  <c r="J23" i="88"/>
  <c r="L23" i="88" s="1"/>
  <c r="J30" i="88"/>
  <c r="L30" i="88" s="1"/>
  <c r="J28" i="88"/>
  <c r="L28" i="88" s="1"/>
  <c r="J18" i="88"/>
  <c r="L18" i="88" s="1"/>
  <c r="J33" i="112"/>
  <c r="L33" i="112" s="1"/>
  <c r="J13" i="112"/>
  <c r="L13" i="112" s="1"/>
  <c r="J22" i="112"/>
  <c r="L22" i="112" s="1"/>
  <c r="J19" i="88"/>
  <c r="L19" i="88" s="1"/>
  <c r="J22" i="88"/>
  <c r="L22" i="88" s="1"/>
  <c r="J20" i="88"/>
  <c r="L20" i="88" s="1"/>
  <c r="C33" i="115"/>
  <c r="J35" i="115" s="1"/>
  <c r="J30" i="112"/>
  <c r="L30" i="112" s="1"/>
  <c r="J25" i="112"/>
  <c r="L25" i="112" s="1"/>
  <c r="J32" i="112"/>
  <c r="L32" i="112" s="1"/>
  <c r="J34" i="88"/>
  <c r="L34" i="88" s="1"/>
  <c r="J14" i="88"/>
  <c r="L14" i="88" s="1"/>
  <c r="J12" i="88"/>
  <c r="L12" i="88" s="1"/>
  <c r="C33" i="116"/>
  <c r="J18" i="116" s="1"/>
  <c r="J27" i="112"/>
  <c r="L27" i="112" s="1"/>
  <c r="J34" i="112"/>
  <c r="L34" i="112" s="1"/>
  <c r="J27" i="88"/>
  <c r="L27" i="88" s="1"/>
  <c r="J25" i="88"/>
  <c r="L25" i="88" s="1"/>
  <c r="J29" i="88"/>
  <c r="L29" i="88" s="1"/>
  <c r="C32" i="114"/>
  <c r="J11" i="114" s="1"/>
  <c r="C58" i="113"/>
  <c r="C45" i="91"/>
  <c r="J13" i="91"/>
  <c r="C45" i="111"/>
  <c r="J13" i="111"/>
  <c r="M13" i="111" s="1"/>
  <c r="C23" i="94"/>
  <c r="C27" i="94" s="1"/>
  <c r="I11" i="117" s="1"/>
  <c r="C25" i="94"/>
  <c r="C58" i="114"/>
  <c r="L29" i="107"/>
  <c r="J14" i="103"/>
  <c r="J13" i="103"/>
  <c r="K10" i="103"/>
  <c r="K26" i="103" s="1"/>
  <c r="J8" i="117"/>
  <c r="K8" i="117" s="1"/>
  <c r="M10" i="94"/>
  <c r="C12" i="104"/>
  <c r="C10" i="113"/>
  <c r="K10" i="113" s="1"/>
  <c r="C10" i="114"/>
  <c r="K10" i="114" s="1"/>
  <c r="C10" i="116"/>
  <c r="M10" i="116" s="1"/>
  <c r="C10" i="115"/>
  <c r="M10" i="115" s="1"/>
  <c r="K29" i="102"/>
  <c r="K29" i="100"/>
  <c r="I12" i="99"/>
  <c r="I15" i="99"/>
  <c r="J9" i="106"/>
  <c r="M9" i="106" s="1"/>
  <c r="J18" i="106"/>
  <c r="M18" i="106" s="1"/>
  <c r="I22" i="99"/>
  <c r="J10" i="106"/>
  <c r="M10" i="106" s="1"/>
  <c r="J17" i="106"/>
  <c r="M17" i="106" s="1"/>
  <c r="J28" i="106"/>
  <c r="M28" i="106" s="1"/>
  <c r="J23" i="106"/>
  <c r="M23" i="106" s="1"/>
  <c r="J13" i="106"/>
  <c r="M13" i="106" s="1"/>
  <c r="J20" i="106"/>
  <c r="M20" i="106" s="1"/>
  <c r="I9" i="99"/>
  <c r="J21" i="106"/>
  <c r="M21" i="106" s="1"/>
  <c r="I27" i="99"/>
  <c r="J27" i="106"/>
  <c r="M27" i="106" s="1"/>
  <c r="J11" i="106"/>
  <c r="M11" i="106" s="1"/>
  <c r="J7" i="106"/>
  <c r="M7" i="106" s="1"/>
  <c r="I21" i="99"/>
  <c r="J14" i="106"/>
  <c r="M14" i="106" s="1"/>
  <c r="I25" i="99"/>
  <c r="I4" i="99"/>
  <c r="I13" i="99"/>
  <c r="I19" i="99"/>
  <c r="I23" i="99"/>
  <c r="I14" i="99"/>
  <c r="I18" i="99"/>
  <c r="K27" i="107"/>
  <c r="K17" i="107"/>
  <c r="K19" i="107"/>
  <c r="K6" i="107"/>
  <c r="K8" i="107"/>
  <c r="K10" i="107"/>
  <c r="K23" i="107"/>
  <c r="K25" i="107"/>
  <c r="K16" i="107"/>
  <c r="K5" i="107"/>
  <c r="K14" i="107"/>
  <c r="K20" i="107"/>
  <c r="K22" i="107"/>
  <c r="K12" i="107"/>
  <c r="K28" i="107"/>
  <c r="K9" i="107"/>
  <c r="K24" i="107"/>
  <c r="K7" i="107"/>
  <c r="K13" i="107"/>
  <c r="K26" i="107"/>
  <c r="K18" i="107"/>
  <c r="K4" i="107"/>
  <c r="K15" i="107"/>
  <c r="K21" i="107"/>
  <c r="K11" i="107"/>
  <c r="O10" i="95"/>
  <c r="J24" i="106"/>
  <c r="M24" i="106" s="1"/>
  <c r="J15" i="106"/>
  <c r="M15" i="106" s="1"/>
  <c r="J6" i="106"/>
  <c r="M6" i="106" s="1"/>
  <c r="I6" i="99"/>
  <c r="I11" i="99"/>
  <c r="I10" i="99"/>
  <c r="I28" i="99"/>
  <c r="I8" i="99"/>
  <c r="I20" i="99"/>
  <c r="I5" i="99"/>
  <c r="I17" i="99"/>
  <c r="I16" i="99"/>
  <c r="J25" i="106"/>
  <c r="M25" i="106" s="1"/>
  <c r="J22" i="106"/>
  <c r="M22" i="106" s="1"/>
  <c r="J5" i="106"/>
  <c r="M5" i="106" s="1"/>
  <c r="J19" i="106"/>
  <c r="M19" i="106" s="1"/>
  <c r="J26" i="106"/>
  <c r="M26" i="106" s="1"/>
  <c r="J8" i="106"/>
  <c r="M8" i="106" s="1"/>
  <c r="J4" i="106"/>
  <c r="M4" i="106" s="1"/>
  <c r="I24" i="99"/>
  <c r="I7" i="99"/>
  <c r="J16" i="106"/>
  <c r="M16" i="106" s="1"/>
  <c r="C24" i="101"/>
  <c r="J15" i="101" s="1"/>
  <c r="C19" i="99"/>
  <c r="I16" i="101"/>
  <c r="I4" i="101"/>
  <c r="I10" i="101"/>
  <c r="I27" i="101"/>
  <c r="I20" i="101"/>
  <c r="I14" i="101"/>
  <c r="I17" i="101"/>
  <c r="I8" i="101"/>
  <c r="I19" i="101"/>
  <c r="I24" i="101"/>
  <c r="I5" i="101"/>
  <c r="I18" i="101"/>
  <c r="I28" i="101"/>
  <c r="I9" i="101"/>
  <c r="I22" i="101"/>
  <c r="I7" i="101"/>
  <c r="I15" i="101"/>
  <c r="I21" i="101"/>
  <c r="I13" i="101"/>
  <c r="I26" i="101"/>
  <c r="I11" i="101"/>
  <c r="I23" i="101"/>
  <c r="I6" i="101"/>
  <c r="I12" i="101"/>
  <c r="I25" i="101"/>
  <c r="I10" i="102"/>
  <c r="I19" i="102"/>
  <c r="I16" i="102"/>
  <c r="I17" i="102"/>
  <c r="I18" i="102"/>
  <c r="I27" i="102"/>
  <c r="I14" i="102"/>
  <c r="I23" i="102"/>
  <c r="I20" i="102"/>
  <c r="I25" i="102"/>
  <c r="I24" i="102"/>
  <c r="I4" i="102"/>
  <c r="I22" i="102"/>
  <c r="I28" i="102"/>
  <c r="I26" i="102"/>
  <c r="I7" i="102"/>
  <c r="I6" i="102"/>
  <c r="I9" i="102"/>
  <c r="I12" i="102"/>
  <c r="I11" i="102"/>
  <c r="I15" i="102"/>
  <c r="I5" i="102"/>
  <c r="I13" i="102"/>
  <c r="I21" i="102"/>
  <c r="I8" i="102"/>
  <c r="C18" i="100"/>
  <c r="C24" i="102"/>
  <c r="J27" i="102" s="1"/>
  <c r="J24" i="107"/>
  <c r="J28" i="107"/>
  <c r="J27" i="107"/>
  <c r="J14" i="107"/>
  <c r="J21" i="107"/>
  <c r="J8" i="107"/>
  <c r="J5" i="107"/>
  <c r="J12" i="107"/>
  <c r="J11" i="107"/>
  <c r="J23" i="107"/>
  <c r="J16" i="107"/>
  <c r="J18" i="107"/>
  <c r="J4" i="107"/>
  <c r="J9" i="107"/>
  <c r="J25" i="107"/>
  <c r="J17" i="107"/>
  <c r="J6" i="107"/>
  <c r="J22" i="107"/>
  <c r="J26" i="107"/>
  <c r="J20" i="107"/>
  <c r="J13" i="107"/>
  <c r="J15" i="107"/>
  <c r="J7" i="107"/>
  <c r="J10" i="107"/>
  <c r="J19" i="107"/>
  <c r="O31" i="88" l="1"/>
  <c r="J14" i="113"/>
  <c r="L12" i="95"/>
  <c r="I29" i="100"/>
  <c r="J23" i="116"/>
  <c r="L23" i="116" s="1"/>
  <c r="J13" i="116"/>
  <c r="L13" i="116" s="1"/>
  <c r="L21" i="95"/>
  <c r="L18" i="116"/>
  <c r="L35" i="115"/>
  <c r="J32" i="116"/>
  <c r="L32" i="116" s="1"/>
  <c r="J11" i="116"/>
  <c r="L11" i="116" s="1"/>
  <c r="J34" i="116"/>
  <c r="L34" i="116" s="1"/>
  <c r="J15" i="116"/>
  <c r="L15" i="116" s="1"/>
  <c r="J21" i="115"/>
  <c r="L21" i="115" s="1"/>
  <c r="J31" i="115"/>
  <c r="L31" i="115" s="1"/>
  <c r="J33" i="115"/>
  <c r="L33" i="115" s="1"/>
  <c r="J14" i="114"/>
  <c r="M14" i="114" s="1"/>
  <c r="J13" i="114"/>
  <c r="M13" i="114" s="1"/>
  <c r="J13" i="113"/>
  <c r="M13" i="113" s="1"/>
  <c r="J12" i="113"/>
  <c r="M12" i="113" s="1"/>
  <c r="C46" i="94"/>
  <c r="J14" i="94"/>
  <c r="M14" i="94" s="1"/>
  <c r="L20" i="95"/>
  <c r="O20" i="95" s="1"/>
  <c r="J19" i="116"/>
  <c r="L19" i="116" s="1"/>
  <c r="J24" i="115"/>
  <c r="L24" i="115" s="1"/>
  <c r="J22" i="116"/>
  <c r="L22" i="116" s="1"/>
  <c r="J24" i="116"/>
  <c r="L24" i="116" s="1"/>
  <c r="J23" i="115"/>
  <c r="L23" i="115" s="1"/>
  <c r="J20" i="116"/>
  <c r="L20" i="116" s="1"/>
  <c r="M11" i="114"/>
  <c r="L19" i="95"/>
  <c r="O19" i="95" s="1"/>
  <c r="L17" i="95"/>
  <c r="O17" i="95" s="1"/>
  <c r="L15" i="95"/>
  <c r="J26" i="115"/>
  <c r="L26" i="115" s="1"/>
  <c r="J21" i="116"/>
  <c r="L21" i="116" s="1"/>
  <c r="J12" i="114"/>
  <c r="M12" i="114" s="1"/>
  <c r="J18" i="115"/>
  <c r="L18" i="115" s="1"/>
  <c r="J22" i="115"/>
  <c r="L22" i="115" s="1"/>
  <c r="J12" i="116"/>
  <c r="L12" i="116" s="1"/>
  <c r="J25" i="116"/>
  <c r="L25" i="116" s="1"/>
  <c r="L16" i="95"/>
  <c r="L18" i="95"/>
  <c r="O18" i="95" s="1"/>
  <c r="L11" i="95"/>
  <c r="L14" i="95"/>
  <c r="L26" i="112"/>
  <c r="O26" i="112" s="1"/>
  <c r="L13" i="95"/>
  <c r="L22" i="95"/>
  <c r="O22" i="95" s="1"/>
  <c r="J27" i="116"/>
  <c r="L27" i="116" s="1"/>
  <c r="J26" i="116"/>
  <c r="L26" i="116" s="1"/>
  <c r="J28" i="116"/>
  <c r="L28" i="116" s="1"/>
  <c r="J33" i="116"/>
  <c r="L33" i="116" s="1"/>
  <c r="J30" i="116"/>
  <c r="L30" i="116" s="1"/>
  <c r="J17" i="116"/>
  <c r="L17" i="116" s="1"/>
  <c r="J31" i="116"/>
  <c r="L31" i="116" s="1"/>
  <c r="J14" i="116"/>
  <c r="L14" i="116" s="1"/>
  <c r="J29" i="116"/>
  <c r="L29" i="116" s="1"/>
  <c r="J35" i="116"/>
  <c r="L35" i="116" s="1"/>
  <c r="J16" i="116"/>
  <c r="L16" i="116" s="1"/>
  <c r="J16" i="115"/>
  <c r="L16" i="115" s="1"/>
  <c r="J11" i="115"/>
  <c r="L11" i="115" s="1"/>
  <c r="J13" i="115"/>
  <c r="L13" i="115" s="1"/>
  <c r="J20" i="115"/>
  <c r="L20" i="115" s="1"/>
  <c r="J19" i="115"/>
  <c r="L19" i="115" s="1"/>
  <c r="J27" i="115"/>
  <c r="L27" i="115" s="1"/>
  <c r="J28" i="115"/>
  <c r="L28" i="115" s="1"/>
  <c r="J15" i="115"/>
  <c r="L15" i="115" s="1"/>
  <c r="J12" i="115"/>
  <c r="L12" i="115" s="1"/>
  <c r="J17" i="115"/>
  <c r="L17" i="115" s="1"/>
  <c r="J34" i="115"/>
  <c r="L34" i="115" s="1"/>
  <c r="J25" i="115"/>
  <c r="L25" i="115" s="1"/>
  <c r="J30" i="115"/>
  <c r="L30" i="115" s="1"/>
  <c r="J29" i="115"/>
  <c r="L29" i="115" s="1"/>
  <c r="J14" i="115"/>
  <c r="L14" i="115" s="1"/>
  <c r="J32" i="115"/>
  <c r="L32" i="115" s="1"/>
  <c r="O21" i="95"/>
  <c r="J23" i="95"/>
  <c r="O24" i="112"/>
  <c r="O35" i="88"/>
  <c r="O23" i="107"/>
  <c r="O28" i="112"/>
  <c r="O14" i="112"/>
  <c r="O17" i="112"/>
  <c r="O27" i="112"/>
  <c r="O30" i="112"/>
  <c r="O19" i="112"/>
  <c r="O21" i="88"/>
  <c r="I21" i="104"/>
  <c r="I18" i="104"/>
  <c r="I23" i="104"/>
  <c r="I14" i="104"/>
  <c r="I11" i="104"/>
  <c r="I16" i="104"/>
  <c r="I22" i="104"/>
  <c r="I19" i="104"/>
  <c r="I15" i="104"/>
  <c r="I13" i="104"/>
  <c r="I12" i="104"/>
  <c r="I20" i="104"/>
  <c r="I24" i="104"/>
  <c r="I17" i="104"/>
  <c r="I25" i="104"/>
  <c r="O15" i="112"/>
  <c r="O22" i="88"/>
  <c r="O32" i="88"/>
  <c r="O33" i="112"/>
  <c r="O34" i="112"/>
  <c r="O29" i="112"/>
  <c r="O18" i="112"/>
  <c r="O20" i="112"/>
  <c r="O22" i="112"/>
  <c r="O21" i="112"/>
  <c r="C64" i="112"/>
  <c r="C63" i="112" s="1"/>
  <c r="C66" i="112" s="1"/>
  <c r="L10" i="112" s="1"/>
  <c r="O10" i="112" s="1"/>
  <c r="O11" i="112"/>
  <c r="O13" i="112"/>
  <c r="O23" i="112"/>
  <c r="O35" i="112"/>
  <c r="O31" i="112"/>
  <c r="I23" i="95"/>
  <c r="O28" i="107"/>
  <c r="O7" i="107"/>
  <c r="O5" i="107"/>
  <c r="O25" i="112"/>
  <c r="K13" i="104"/>
  <c r="K16" i="104"/>
  <c r="K24" i="104"/>
  <c r="K18" i="104"/>
  <c r="K17" i="104"/>
  <c r="K21" i="104"/>
  <c r="O32" i="112"/>
  <c r="J36" i="88"/>
  <c r="I36" i="114"/>
  <c r="O12" i="112"/>
  <c r="O34" i="88"/>
  <c r="I36" i="115"/>
  <c r="J36" i="112"/>
  <c r="O33" i="88"/>
  <c r="M11" i="113"/>
  <c r="I36" i="116"/>
  <c r="I36" i="113"/>
  <c r="C46" i="111"/>
  <c r="J14" i="111"/>
  <c r="M14" i="111" s="1"/>
  <c r="C59" i="113"/>
  <c r="J15" i="113" s="1"/>
  <c r="C59" i="114"/>
  <c r="J15" i="114" s="1"/>
  <c r="C46" i="91"/>
  <c r="J14" i="91"/>
  <c r="M14" i="91" s="1"/>
  <c r="I23" i="94"/>
  <c r="O19" i="107"/>
  <c r="O26" i="107"/>
  <c r="O22" i="107"/>
  <c r="O6" i="107"/>
  <c r="K25" i="104"/>
  <c r="K11" i="104"/>
  <c r="K22" i="104"/>
  <c r="K23" i="104"/>
  <c r="K14" i="104"/>
  <c r="J13" i="104"/>
  <c r="J23" i="104"/>
  <c r="J12" i="104"/>
  <c r="J15" i="104"/>
  <c r="J21" i="104"/>
  <c r="J16" i="104"/>
  <c r="J18" i="104"/>
  <c r="J11" i="104"/>
  <c r="J24" i="104"/>
  <c r="J19" i="104"/>
  <c r="J17" i="104"/>
  <c r="J14" i="104"/>
  <c r="J25" i="104"/>
  <c r="J20" i="104"/>
  <c r="J22" i="104"/>
  <c r="K15" i="104"/>
  <c r="K20" i="104"/>
  <c r="K19" i="104"/>
  <c r="K12" i="104"/>
  <c r="J15" i="103"/>
  <c r="M10" i="104"/>
  <c r="M10" i="114"/>
  <c r="K36" i="114"/>
  <c r="K36" i="113"/>
  <c r="M10" i="113"/>
  <c r="M36" i="116"/>
  <c r="M36" i="115"/>
  <c r="M10" i="103"/>
  <c r="O10" i="107"/>
  <c r="O25" i="107"/>
  <c r="O15" i="107"/>
  <c r="O9" i="107"/>
  <c r="O13" i="107"/>
  <c r="O12" i="107"/>
  <c r="O8" i="107"/>
  <c r="O20" i="107"/>
  <c r="O18" i="107"/>
  <c r="O14" i="107"/>
  <c r="M29" i="106"/>
  <c r="I29" i="99"/>
  <c r="J24" i="101"/>
  <c r="M24" i="101" s="1"/>
  <c r="J27" i="101"/>
  <c r="M27" i="101" s="1"/>
  <c r="J13" i="101"/>
  <c r="M13" i="101" s="1"/>
  <c r="J9" i="101"/>
  <c r="M9" i="101" s="1"/>
  <c r="J16" i="101"/>
  <c r="M16" i="101" s="1"/>
  <c r="J4" i="101"/>
  <c r="M4" i="101" s="1"/>
  <c r="J6" i="101"/>
  <c r="M6" i="101" s="1"/>
  <c r="J28" i="101"/>
  <c r="M28" i="101" s="1"/>
  <c r="J25" i="101"/>
  <c r="M25" i="101" s="1"/>
  <c r="O21" i="107"/>
  <c r="O16" i="107"/>
  <c r="O27" i="107"/>
  <c r="K29" i="107"/>
  <c r="O11" i="107"/>
  <c r="O24" i="107"/>
  <c r="O17" i="107"/>
  <c r="J14" i="102"/>
  <c r="L14" i="102" s="1"/>
  <c r="O14" i="102" s="1"/>
  <c r="O29" i="88"/>
  <c r="J11" i="102"/>
  <c r="L11" i="102" s="1"/>
  <c r="O11" i="102" s="1"/>
  <c r="O13" i="88"/>
  <c r="J20" i="102"/>
  <c r="L20" i="102" s="1"/>
  <c r="O20" i="102" s="1"/>
  <c r="J16" i="102"/>
  <c r="L16" i="102" s="1"/>
  <c r="J18" i="101"/>
  <c r="M18" i="101" s="1"/>
  <c r="J17" i="101"/>
  <c r="M17" i="101" s="1"/>
  <c r="J23" i="101"/>
  <c r="M23" i="101" s="1"/>
  <c r="J8" i="102"/>
  <c r="L8" i="102" s="1"/>
  <c r="O8" i="102" s="1"/>
  <c r="J26" i="101"/>
  <c r="M26" i="101" s="1"/>
  <c r="J21" i="101"/>
  <c r="M21" i="101" s="1"/>
  <c r="C16" i="106"/>
  <c r="C17" i="106"/>
  <c r="J29" i="106"/>
  <c r="C18" i="106" s="1"/>
  <c r="M15" i="101"/>
  <c r="M13" i="103"/>
  <c r="M14" i="103"/>
  <c r="M12" i="103"/>
  <c r="J12" i="101"/>
  <c r="M12" i="101" s="1"/>
  <c r="M13" i="94"/>
  <c r="M12" i="94"/>
  <c r="I29" i="101"/>
  <c r="J20" i="101"/>
  <c r="M20" i="101" s="1"/>
  <c r="J8" i="101"/>
  <c r="M8" i="101" s="1"/>
  <c r="J19" i="101"/>
  <c r="M19" i="101" s="1"/>
  <c r="J10" i="101"/>
  <c r="M10" i="101" s="1"/>
  <c r="J7" i="101"/>
  <c r="M7" i="101" s="1"/>
  <c r="J11" i="101"/>
  <c r="M11" i="101" s="1"/>
  <c r="J5" i="101"/>
  <c r="M5" i="101" s="1"/>
  <c r="J14" i="101"/>
  <c r="M14" i="101" s="1"/>
  <c r="J22" i="101"/>
  <c r="M22" i="101" s="1"/>
  <c r="J24" i="99"/>
  <c r="M24" i="99" s="1"/>
  <c r="J15" i="99"/>
  <c r="M15" i="99" s="1"/>
  <c r="J23" i="99"/>
  <c r="M23" i="99" s="1"/>
  <c r="J5" i="99"/>
  <c r="M5" i="99" s="1"/>
  <c r="J7" i="99"/>
  <c r="M7" i="99" s="1"/>
  <c r="J18" i="99"/>
  <c r="M18" i="99" s="1"/>
  <c r="J21" i="99"/>
  <c r="M21" i="99" s="1"/>
  <c r="J20" i="99"/>
  <c r="M20" i="99" s="1"/>
  <c r="J9" i="99"/>
  <c r="M9" i="99" s="1"/>
  <c r="J26" i="99"/>
  <c r="M26" i="99" s="1"/>
  <c r="J28" i="99"/>
  <c r="M28" i="99" s="1"/>
  <c r="J25" i="99"/>
  <c r="M25" i="99" s="1"/>
  <c r="J10" i="99"/>
  <c r="M10" i="99" s="1"/>
  <c r="J27" i="99"/>
  <c r="M27" i="99" s="1"/>
  <c r="J6" i="99"/>
  <c r="M6" i="99" s="1"/>
  <c r="J4" i="99"/>
  <c r="J17" i="99"/>
  <c r="M17" i="99" s="1"/>
  <c r="J11" i="99"/>
  <c r="M11" i="99" s="1"/>
  <c r="J16" i="99"/>
  <c r="M16" i="99" s="1"/>
  <c r="J12" i="99"/>
  <c r="M12" i="99" s="1"/>
  <c r="J14" i="99"/>
  <c r="M14" i="99" s="1"/>
  <c r="J19" i="99"/>
  <c r="M19" i="99" s="1"/>
  <c r="J22" i="99"/>
  <c r="M22" i="99" s="1"/>
  <c r="J8" i="99"/>
  <c r="M8" i="99" s="1"/>
  <c r="J13" i="99"/>
  <c r="M13" i="99" s="1"/>
  <c r="M12" i="91"/>
  <c r="M13" i="91"/>
  <c r="J24" i="102"/>
  <c r="L24" i="102" s="1"/>
  <c r="O24" i="102" s="1"/>
  <c r="J22" i="102"/>
  <c r="L22" i="102" s="1"/>
  <c r="J5" i="102"/>
  <c r="L5" i="102" s="1"/>
  <c r="O5" i="102" s="1"/>
  <c r="O28" i="88"/>
  <c r="J25" i="102"/>
  <c r="L25" i="102" s="1"/>
  <c r="O25" i="102" s="1"/>
  <c r="J18" i="102"/>
  <c r="L18" i="102" s="1"/>
  <c r="O18" i="102" s="1"/>
  <c r="J28" i="102"/>
  <c r="L28" i="102" s="1"/>
  <c r="J4" i="102"/>
  <c r="L4" i="102" s="1"/>
  <c r="O4" i="102" s="1"/>
  <c r="J9" i="102"/>
  <c r="J21" i="102"/>
  <c r="L21" i="102" s="1"/>
  <c r="O21" i="102" s="1"/>
  <c r="J17" i="102"/>
  <c r="L17" i="102" s="1"/>
  <c r="O17" i="102" s="1"/>
  <c r="J19" i="102"/>
  <c r="L19" i="102" s="1"/>
  <c r="O19" i="102" s="1"/>
  <c r="J15" i="102"/>
  <c r="L15" i="102" s="1"/>
  <c r="O15" i="88"/>
  <c r="L27" i="102"/>
  <c r="O27" i="102" s="1"/>
  <c r="O18" i="88"/>
  <c r="J7" i="102"/>
  <c r="J10" i="102"/>
  <c r="J23" i="102"/>
  <c r="J13" i="102"/>
  <c r="J26" i="102"/>
  <c r="J5" i="100"/>
  <c r="J27" i="100"/>
  <c r="J15" i="100"/>
  <c r="J16" i="100"/>
  <c r="J19" i="100"/>
  <c r="J26" i="100"/>
  <c r="J18" i="100"/>
  <c r="J22" i="100"/>
  <c r="J25" i="100"/>
  <c r="J9" i="100"/>
  <c r="J21" i="100"/>
  <c r="J7" i="100"/>
  <c r="J10" i="100"/>
  <c r="J13" i="100"/>
  <c r="J8" i="100"/>
  <c r="J23" i="100"/>
  <c r="J12" i="100"/>
  <c r="J4" i="100"/>
  <c r="J20" i="100"/>
  <c r="J24" i="100"/>
  <c r="J17" i="100"/>
  <c r="J11" i="100"/>
  <c r="J14" i="100"/>
  <c r="J28" i="100"/>
  <c r="J6" i="100"/>
  <c r="J29" i="107"/>
  <c r="O4" i="107"/>
  <c r="J6" i="102"/>
  <c r="J12" i="102"/>
  <c r="I29" i="102"/>
  <c r="C47" i="94" l="1"/>
  <c r="J15" i="94"/>
  <c r="M15" i="94" s="1"/>
  <c r="L24" i="104"/>
  <c r="O24" i="104" s="1"/>
  <c r="L21" i="104"/>
  <c r="O21" i="104" s="1"/>
  <c r="L22" i="104"/>
  <c r="O22" i="104" s="1"/>
  <c r="L11" i="104"/>
  <c r="O11" i="104" s="1"/>
  <c r="L15" i="104"/>
  <c r="O15" i="104" s="1"/>
  <c r="L25" i="104"/>
  <c r="O25" i="104" s="1"/>
  <c r="L19" i="104"/>
  <c r="O19" i="104" s="1"/>
  <c r="L23" i="104"/>
  <c r="O23" i="104" s="1"/>
  <c r="L12" i="104"/>
  <c r="O12" i="104" s="1"/>
  <c r="L20" i="104"/>
  <c r="O20" i="104" s="1"/>
  <c r="L16" i="104"/>
  <c r="O16" i="104" s="1"/>
  <c r="L14" i="104"/>
  <c r="O14" i="104" s="1"/>
  <c r="L17" i="104"/>
  <c r="O17" i="104" s="1"/>
  <c r="L13" i="104"/>
  <c r="O13" i="104" s="1"/>
  <c r="L18" i="104"/>
  <c r="O18" i="104" s="1"/>
  <c r="L23" i="95"/>
  <c r="C37" i="95" s="1"/>
  <c r="L36" i="112"/>
  <c r="C30" i="112" s="1"/>
  <c r="H10" i="117" s="1"/>
  <c r="O27" i="116"/>
  <c r="O29" i="116"/>
  <c r="O34" i="115"/>
  <c r="O24" i="115"/>
  <c r="O14" i="116"/>
  <c r="O19" i="115"/>
  <c r="O30" i="115"/>
  <c r="O23" i="115"/>
  <c r="O20" i="116"/>
  <c r="O21" i="116"/>
  <c r="O12" i="116"/>
  <c r="O22" i="116"/>
  <c r="O19" i="116"/>
  <c r="O35" i="115"/>
  <c r="O15" i="115"/>
  <c r="O31" i="116"/>
  <c r="O28" i="116"/>
  <c r="O21" i="115"/>
  <c r="O24" i="116"/>
  <c r="O30" i="116"/>
  <c r="O16" i="116"/>
  <c r="O13" i="116"/>
  <c r="O14" i="115"/>
  <c r="O18" i="116"/>
  <c r="O25" i="116"/>
  <c r="O26" i="115"/>
  <c r="O26" i="116"/>
  <c r="O17" i="115"/>
  <c r="O28" i="115"/>
  <c r="O15" i="116"/>
  <c r="O35" i="116"/>
  <c r="O16" i="115"/>
  <c r="O18" i="115"/>
  <c r="O17" i="116"/>
  <c r="O22" i="115"/>
  <c r="J36" i="115"/>
  <c r="C85" i="115"/>
  <c r="C84" i="115" s="1"/>
  <c r="O32" i="115"/>
  <c r="O34" i="116"/>
  <c r="O33" i="115"/>
  <c r="O31" i="115"/>
  <c r="J36" i="116"/>
  <c r="C84" i="116"/>
  <c r="C83" i="116" s="1"/>
  <c r="O11" i="116"/>
  <c r="O33" i="116"/>
  <c r="O25" i="115"/>
  <c r="O13" i="115"/>
  <c r="O12" i="115"/>
  <c r="O20" i="115"/>
  <c r="O23" i="116"/>
  <c r="O32" i="116"/>
  <c r="O27" i="115"/>
  <c r="O29" i="115"/>
  <c r="C47" i="91"/>
  <c r="J15" i="91"/>
  <c r="M15" i="91" s="1"/>
  <c r="C60" i="114"/>
  <c r="M15" i="114"/>
  <c r="M14" i="113"/>
  <c r="O36" i="112"/>
  <c r="C29" i="112"/>
  <c r="F10" i="117" s="1"/>
  <c r="C28" i="112"/>
  <c r="D10" i="117" s="1"/>
  <c r="L10" i="117" s="1"/>
  <c r="C60" i="113"/>
  <c r="M15" i="113"/>
  <c r="C47" i="111"/>
  <c r="J15" i="111"/>
  <c r="C18" i="107"/>
  <c r="J22" i="103"/>
  <c r="J21" i="103"/>
  <c r="J23" i="103"/>
  <c r="J24" i="103"/>
  <c r="J17" i="103"/>
  <c r="J25" i="103"/>
  <c r="J19" i="103"/>
  <c r="J18" i="103"/>
  <c r="J16" i="103"/>
  <c r="J20" i="103"/>
  <c r="K26" i="104"/>
  <c r="I26" i="104"/>
  <c r="O10" i="104"/>
  <c r="M26" i="104"/>
  <c r="M15" i="103"/>
  <c r="J26" i="104"/>
  <c r="C57" i="102"/>
  <c r="C56" i="102" s="1"/>
  <c r="C59" i="102" s="1"/>
  <c r="L3" i="102" s="1"/>
  <c r="O3" i="102" s="1"/>
  <c r="J29" i="102"/>
  <c r="L9" i="102"/>
  <c r="O9" i="102" s="1"/>
  <c r="O28" i="102"/>
  <c r="O16" i="102"/>
  <c r="O22" i="102"/>
  <c r="J29" i="101"/>
  <c r="C33" i="101" s="1"/>
  <c r="C32" i="101"/>
  <c r="M29" i="101"/>
  <c r="C31" i="101"/>
  <c r="M4" i="99"/>
  <c r="J29" i="99"/>
  <c r="C28" i="99" s="1"/>
  <c r="M11" i="91"/>
  <c r="M11" i="94"/>
  <c r="M11" i="103"/>
  <c r="O23" i="88"/>
  <c r="O15" i="102"/>
  <c r="L23" i="100"/>
  <c r="O23" i="100" s="1"/>
  <c r="L13" i="100"/>
  <c r="O13" i="100" s="1"/>
  <c r="C16" i="107"/>
  <c r="O29" i="107"/>
  <c r="C17" i="107"/>
  <c r="L17" i="100"/>
  <c r="O17" i="100" s="1"/>
  <c r="L10" i="100"/>
  <c r="O10" i="100" s="1"/>
  <c r="L19" i="100"/>
  <c r="O19" i="100" s="1"/>
  <c r="C64" i="95"/>
  <c r="C63" i="95" s="1"/>
  <c r="C66" i="95" s="1"/>
  <c r="O11" i="95"/>
  <c r="O16" i="88"/>
  <c r="O25" i="88"/>
  <c r="L18" i="100"/>
  <c r="O18" i="100" s="1"/>
  <c r="L6" i="102"/>
  <c r="O6" i="102" s="1"/>
  <c r="O11" i="88"/>
  <c r="C64" i="88"/>
  <c r="C63" i="88" s="1"/>
  <c r="C66" i="88" s="1"/>
  <c r="L10" i="88" s="1"/>
  <c r="L36" i="88" s="1"/>
  <c r="C30" i="88" s="1"/>
  <c r="H9" i="117" s="1"/>
  <c r="O27" i="88"/>
  <c r="L24" i="100"/>
  <c r="O24" i="100" s="1"/>
  <c r="L7" i="100"/>
  <c r="O7" i="100" s="1"/>
  <c r="L16" i="100"/>
  <c r="O16" i="100" s="1"/>
  <c r="O14" i="88"/>
  <c r="O13" i="95"/>
  <c r="O14" i="95"/>
  <c r="L26" i="102"/>
  <c r="O26" i="102" s="1"/>
  <c r="O26" i="88"/>
  <c r="L7" i="102"/>
  <c r="O7" i="102" s="1"/>
  <c r="L11" i="100"/>
  <c r="O11" i="100" s="1"/>
  <c r="L21" i="100"/>
  <c r="O21" i="100" s="1"/>
  <c r="L13" i="102"/>
  <c r="O13" i="102" s="1"/>
  <c r="C68" i="104"/>
  <c r="C67" i="104" s="1"/>
  <c r="C70" i="104" s="1"/>
  <c r="L28" i="100"/>
  <c r="O28" i="100" s="1"/>
  <c r="L22" i="100"/>
  <c r="O22" i="100" s="1"/>
  <c r="O16" i="95"/>
  <c r="L14" i="100"/>
  <c r="O14" i="100" s="1"/>
  <c r="O24" i="88"/>
  <c r="L15" i="100"/>
  <c r="O15" i="100" s="1"/>
  <c r="L27" i="100"/>
  <c r="O27" i="100" s="1"/>
  <c r="O15" i="95"/>
  <c r="L23" i="102"/>
  <c r="O23" i="102" s="1"/>
  <c r="L12" i="102"/>
  <c r="O12" i="102" s="1"/>
  <c r="L8" i="100"/>
  <c r="O8" i="100" s="1"/>
  <c r="O17" i="88"/>
  <c r="L26" i="100"/>
  <c r="O26" i="100" s="1"/>
  <c r="O12" i="95"/>
  <c r="O20" i="88"/>
  <c r="L20" i="100"/>
  <c r="O20" i="100" s="1"/>
  <c r="O19" i="88"/>
  <c r="J29" i="100"/>
  <c r="C51" i="100"/>
  <c r="C50" i="100" s="1"/>
  <c r="C53" i="100" s="1"/>
  <c r="L3" i="100" s="1"/>
  <c r="L4" i="100"/>
  <c r="O4" i="100" s="1"/>
  <c r="L9" i="100"/>
  <c r="O9" i="100" s="1"/>
  <c r="O12" i="88"/>
  <c r="O30" i="88"/>
  <c r="L6" i="100"/>
  <c r="O6" i="100" s="1"/>
  <c r="L12" i="100"/>
  <c r="O12" i="100" s="1"/>
  <c r="L25" i="100"/>
  <c r="O25" i="100" s="1"/>
  <c r="L5" i="100"/>
  <c r="O5" i="100" s="1"/>
  <c r="L10" i="102"/>
  <c r="C86" i="116" l="1"/>
  <c r="L10" i="116" s="1"/>
  <c r="C87" i="115"/>
  <c r="L10" i="115" s="1"/>
  <c r="O10" i="115" s="1"/>
  <c r="J20" i="113"/>
  <c r="M20" i="113" s="1"/>
  <c r="J29" i="113"/>
  <c r="J30" i="113"/>
  <c r="J33" i="113"/>
  <c r="M33" i="113" s="1"/>
  <c r="J31" i="113"/>
  <c r="J23" i="113"/>
  <c r="M23" i="113" s="1"/>
  <c r="J24" i="113"/>
  <c r="M24" i="113" s="1"/>
  <c r="J34" i="113"/>
  <c r="M34" i="113" s="1"/>
  <c r="J35" i="113"/>
  <c r="J26" i="113"/>
  <c r="J18" i="113"/>
  <c r="M18" i="113" s="1"/>
  <c r="J22" i="113"/>
  <c r="M22" i="113" s="1"/>
  <c r="J17" i="113"/>
  <c r="M17" i="113" s="1"/>
  <c r="J19" i="113"/>
  <c r="M19" i="113" s="1"/>
  <c r="J16" i="113"/>
  <c r="J21" i="113"/>
  <c r="M21" i="113" s="1"/>
  <c r="J32" i="113"/>
  <c r="M32" i="113" s="1"/>
  <c r="J25" i="113"/>
  <c r="M25" i="113" s="1"/>
  <c r="J28" i="113"/>
  <c r="J27" i="113"/>
  <c r="J17" i="94"/>
  <c r="M17" i="94" s="1"/>
  <c r="J22" i="94"/>
  <c r="M22" i="94" s="1"/>
  <c r="J18" i="94"/>
  <c r="M18" i="94" s="1"/>
  <c r="J16" i="94"/>
  <c r="M16" i="94" s="1"/>
  <c r="J19" i="94"/>
  <c r="M19" i="94" s="1"/>
  <c r="J20" i="94"/>
  <c r="M20" i="94" s="1"/>
  <c r="J21" i="94"/>
  <c r="M21" i="94" s="1"/>
  <c r="J20" i="114"/>
  <c r="M20" i="114" s="1"/>
  <c r="J17" i="114"/>
  <c r="M17" i="114" s="1"/>
  <c r="J32" i="114"/>
  <c r="M32" i="114" s="1"/>
  <c r="J25" i="114"/>
  <c r="M25" i="114" s="1"/>
  <c r="J31" i="114"/>
  <c r="M31" i="114" s="1"/>
  <c r="J19" i="114"/>
  <c r="M19" i="114" s="1"/>
  <c r="J24" i="114"/>
  <c r="M24" i="114" s="1"/>
  <c r="J27" i="114"/>
  <c r="M27" i="114" s="1"/>
  <c r="J21" i="114"/>
  <c r="M21" i="114" s="1"/>
  <c r="J26" i="114"/>
  <c r="M26" i="114" s="1"/>
  <c r="J18" i="114"/>
  <c r="M18" i="114" s="1"/>
  <c r="J16" i="114"/>
  <c r="M16" i="114" s="1"/>
  <c r="J29" i="114"/>
  <c r="M29" i="114" s="1"/>
  <c r="J33" i="114"/>
  <c r="M33" i="114" s="1"/>
  <c r="J34" i="114"/>
  <c r="M34" i="114" s="1"/>
  <c r="J35" i="114"/>
  <c r="M35" i="114" s="1"/>
  <c r="J23" i="114"/>
  <c r="M23" i="114" s="1"/>
  <c r="J28" i="114"/>
  <c r="M28" i="114" s="1"/>
  <c r="J22" i="114"/>
  <c r="M22" i="114" s="1"/>
  <c r="J30" i="114"/>
  <c r="M30" i="114" s="1"/>
  <c r="O11" i="115"/>
  <c r="M15" i="111"/>
  <c r="C36" i="95"/>
  <c r="O23" i="95"/>
  <c r="C35" i="95" s="1"/>
  <c r="D11" i="117" s="1"/>
  <c r="L11" i="117" s="1"/>
  <c r="J19" i="91"/>
  <c r="M19" i="91" s="1"/>
  <c r="J27" i="91"/>
  <c r="M27" i="91" s="1"/>
  <c r="J35" i="91"/>
  <c r="J26" i="91"/>
  <c r="M26" i="91" s="1"/>
  <c r="J20" i="91"/>
  <c r="M20" i="91" s="1"/>
  <c r="J28" i="91"/>
  <c r="M28" i="91" s="1"/>
  <c r="J24" i="91"/>
  <c r="M24" i="91" s="1"/>
  <c r="J21" i="91"/>
  <c r="M21" i="91" s="1"/>
  <c r="J29" i="91"/>
  <c r="M29" i="91" s="1"/>
  <c r="J32" i="91"/>
  <c r="M32" i="91" s="1"/>
  <c r="J25" i="91"/>
  <c r="M25" i="91" s="1"/>
  <c r="J33" i="91"/>
  <c r="M33" i="91" s="1"/>
  <c r="J22" i="91"/>
  <c r="M22" i="91" s="1"/>
  <c r="J30" i="91"/>
  <c r="M30" i="91" s="1"/>
  <c r="J17" i="91"/>
  <c r="M17" i="91" s="1"/>
  <c r="J23" i="91"/>
  <c r="M23" i="91" s="1"/>
  <c r="J31" i="91"/>
  <c r="M31" i="91" s="1"/>
  <c r="J16" i="91"/>
  <c r="M16" i="91" s="1"/>
  <c r="J18" i="91"/>
  <c r="M18" i="91" s="1"/>
  <c r="J34" i="91"/>
  <c r="M34" i="91" s="1"/>
  <c r="J24" i="111"/>
  <c r="M24" i="111" s="1"/>
  <c r="J32" i="111"/>
  <c r="M32" i="111" s="1"/>
  <c r="J23" i="111"/>
  <c r="M23" i="111" s="1"/>
  <c r="J17" i="111"/>
  <c r="M17" i="111" s="1"/>
  <c r="J25" i="111"/>
  <c r="M25" i="111" s="1"/>
  <c r="J33" i="111"/>
  <c r="M33" i="111" s="1"/>
  <c r="J29" i="111"/>
  <c r="M29" i="111" s="1"/>
  <c r="J18" i="111"/>
  <c r="M18" i="111" s="1"/>
  <c r="J26" i="111"/>
  <c r="M26" i="111" s="1"/>
  <c r="J34" i="111"/>
  <c r="M34" i="111" s="1"/>
  <c r="J19" i="111"/>
  <c r="M19" i="111" s="1"/>
  <c r="J27" i="111"/>
  <c r="M27" i="111" s="1"/>
  <c r="J35" i="111"/>
  <c r="M35" i="111" s="1"/>
  <c r="J21" i="111"/>
  <c r="M21" i="111" s="1"/>
  <c r="J20" i="111"/>
  <c r="M20" i="111" s="1"/>
  <c r="J28" i="111"/>
  <c r="M28" i="111" s="1"/>
  <c r="J16" i="111"/>
  <c r="M16" i="111" s="1"/>
  <c r="J22" i="111"/>
  <c r="M22" i="111" s="1"/>
  <c r="J30" i="111"/>
  <c r="M30" i="111" s="1"/>
  <c r="J31" i="111"/>
  <c r="M31" i="111" s="1"/>
  <c r="M25" i="103"/>
  <c r="L26" i="104"/>
  <c r="C43" i="104" s="1"/>
  <c r="H8" i="117" s="1"/>
  <c r="I26" i="103"/>
  <c r="M24" i="103"/>
  <c r="J26" i="103"/>
  <c r="C42" i="104"/>
  <c r="F8" i="117" s="1"/>
  <c r="C41" i="104"/>
  <c r="D8" i="117" s="1"/>
  <c r="L8" i="117" s="1"/>
  <c r="O26" i="104"/>
  <c r="M18" i="103"/>
  <c r="M16" i="103"/>
  <c r="M22" i="103"/>
  <c r="M19" i="103"/>
  <c r="M17" i="103"/>
  <c r="M23" i="103"/>
  <c r="M21" i="103"/>
  <c r="M20" i="103"/>
  <c r="C26" i="99"/>
  <c r="M29" i="99"/>
  <c r="C27" i="99"/>
  <c r="L29" i="102"/>
  <c r="C34" i="102" s="1"/>
  <c r="O3" i="100"/>
  <c r="L29" i="100"/>
  <c r="C28" i="100" s="1"/>
  <c r="O10" i="88"/>
  <c r="O36" i="88" s="1"/>
  <c r="O10" i="102"/>
  <c r="C32" i="102" s="1"/>
  <c r="H11" i="117"/>
  <c r="O10" i="116" l="1"/>
  <c r="L36" i="116"/>
  <c r="C48" i="116" s="1"/>
  <c r="H13" i="117" s="1"/>
  <c r="L36" i="115"/>
  <c r="C50" i="115" s="1"/>
  <c r="H12" i="117" s="1"/>
  <c r="C38" i="94"/>
  <c r="E11" i="117" s="1"/>
  <c r="M23" i="94"/>
  <c r="C37" i="94"/>
  <c r="C11" i="117" s="1"/>
  <c r="J23" i="94"/>
  <c r="C39" i="94" s="1"/>
  <c r="G11" i="117" s="1"/>
  <c r="C48" i="114"/>
  <c r="C13" i="117" s="1"/>
  <c r="J36" i="114"/>
  <c r="C50" i="114" s="1"/>
  <c r="G13" i="117" s="1"/>
  <c r="C49" i="114"/>
  <c r="E13" i="117" s="1"/>
  <c r="M36" i="114"/>
  <c r="C45" i="103"/>
  <c r="G8" i="117" s="1"/>
  <c r="C49" i="115"/>
  <c r="F12" i="117" s="1"/>
  <c r="O36" i="115"/>
  <c r="C48" i="115"/>
  <c r="D12" i="117" s="1"/>
  <c r="L12" i="117" s="1"/>
  <c r="M16" i="113"/>
  <c r="M35" i="91"/>
  <c r="C30" i="91" s="1"/>
  <c r="E9" i="117" s="1"/>
  <c r="J36" i="91"/>
  <c r="C31" i="91" s="1"/>
  <c r="G9" i="117" s="1"/>
  <c r="J36" i="111"/>
  <c r="C31" i="111" s="1"/>
  <c r="G10" i="117" s="1"/>
  <c r="C30" i="111"/>
  <c r="E10" i="117" s="1"/>
  <c r="M36" i="111"/>
  <c r="C29" i="111"/>
  <c r="C10" i="117" s="1"/>
  <c r="F11" i="117"/>
  <c r="C29" i="88"/>
  <c r="F9" i="117" s="1"/>
  <c r="C28" i="88"/>
  <c r="D9" i="117" s="1"/>
  <c r="C44" i="103"/>
  <c r="E8" i="117" s="1"/>
  <c r="M26" i="103"/>
  <c r="C43" i="103"/>
  <c r="C33" i="102"/>
  <c r="O29" i="102"/>
  <c r="C27" i="100"/>
  <c r="O29" i="100"/>
  <c r="C26" i="100"/>
  <c r="C46" i="116" l="1"/>
  <c r="D13" i="117" s="1"/>
  <c r="L13" i="117" s="1"/>
  <c r="C47" i="116"/>
  <c r="F13" i="117" s="1"/>
  <c r="O36" i="116"/>
  <c r="C29" i="91"/>
  <c r="C9" i="117" s="1"/>
  <c r="M36" i="91"/>
  <c r="M35" i="113" l="1"/>
  <c r="M30" i="113" l="1"/>
  <c r="M29" i="113"/>
  <c r="M27" i="113"/>
  <c r="J36" i="113"/>
  <c r="C50" i="113" s="1"/>
  <c r="G12" i="117" s="1"/>
  <c r="M31" i="113"/>
  <c r="M28" i="113"/>
  <c r="M26" i="113"/>
  <c r="C49" i="113" l="1"/>
  <c r="E12" i="117" s="1"/>
  <c r="C48" i="113"/>
  <c r="C12" i="117" s="1"/>
  <c r="M36" i="1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tc={71CECA76-B24A-49D7-BF87-686CD5F6422A}</author>
  </authors>
  <commentList>
    <comment ref="C19" authorId="0" shapeId="0" xr:uid="{71CECA76-B24A-49D7-BF87-686CD5F6422A}">
      <text>
        <t>[Threaded comment]
Your version of Excel allows you to read this threaded comment; however, any edits to it will get removed if the file is opened in a newer version of Excel. Learn more: https://go.microsoft.com/fwlink/?linkid=870924
Comment:
    In W. Macedonia it’s 60%</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tc={51236AA3-B352-4F08-9623-FC19434AD336}</author>
  </authors>
  <commentList>
    <comment ref="C83" authorId="0" shapeId="0" xr:uid="{51236AA3-B352-4F08-9623-FC19434AD336}">
      <text>
        <t>[Threaded comment]
Your version of Excel allows you to read this threaded comment; however, any edits to it will get removed if the file is opened in a newer version of Excel. Learn more: https://go.microsoft.com/fwlink/?linkid=870924
Comment:
    https://europa.eu/youreurope/business/taxation/vat/vat-rules-rates/index_en.htm</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tc={A10C50CB-B202-46F2-B27A-F1366FF82FA8}</author>
  </authors>
  <commentList>
    <comment ref="C79" authorId="0" shapeId="0" xr:uid="{A10C50CB-B202-46F2-B27A-F1366FF82FA8}">
      <text>
        <t>[Threaded comment]
Your version of Excel allows you to read this threaded comment; however, any edits to it will get removed if the file is opened in a newer version of Excel. Learn more: https://go.microsoft.com/fwlink/?linkid=870924
Comment:
    https://europa.eu/youreurope/business/taxation/vat/vat-rules-rates/index_en.htm</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tc={5A6C949B-02F6-4A47-A8C6-914FD3192FB3}</author>
  </authors>
  <commentList>
    <comment ref="C79" authorId="0" shapeId="0" xr:uid="{5A6C949B-02F6-4A47-A8C6-914FD3192FB3}">
      <text>
        <t>[Threaded comment]
Your version of Excel allows you to read this threaded comment; however, any edits to it will get removed if the file is opened in a newer version of Excel. Learn more: https://go.microsoft.com/fwlink/?linkid=870924
Comment:
    https://europa.eu/youreurope/business/taxation/vat/vat-rules-rates/index_en.htm</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tc={5F44354F-E896-48CE-8F09-1FC957042CF7}</author>
  </authors>
  <commentList>
    <comment ref="C79" authorId="0" shapeId="0" xr:uid="{5F44354F-E896-48CE-8F09-1FC957042CF7}">
      <text>
        <t>[Threaded comment]
Your version of Excel allows you to read this threaded comment; however, any edits to it will get removed if the file is opened in a newer version of Excel. Learn more: https://go.microsoft.com/fwlink/?linkid=870924
Comment:
    https://europa.eu/youreurope/business/taxation/vat/vat-rules-rates/index_en.htm</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tc={E9F8A7FE-A0EB-43F6-9761-BBDFF5E4FD76}</author>
  </authors>
  <commentList>
    <comment ref="C54" authorId="0" shapeId="0" xr:uid="{E9F8A7FE-A0EB-43F6-9761-BBDFF5E4FD76}">
      <text>
        <t>[Threaded comment]
Your version of Excel allows you to read this threaded comment; however, any edits to it will get removed if the file is opened in a newer version of Excel. Learn more: https://go.microsoft.com/fwlink/?linkid=870924
Comment:
    https://europa.eu/youreurope/business/taxation/vat/vat-rules-rates/index_en.htm</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tc={31F29026-A75B-47EF-9443-65F0F5F8E664}</author>
  </authors>
  <commentList>
    <comment ref="C54" authorId="0" shapeId="0" xr:uid="{31F29026-A75B-47EF-9443-65F0F5F8E664}">
      <text>
        <t>[Threaded comment]
Your version of Excel allows you to read this threaded comment; however, any edits to it will get removed if the file is opened in a newer version of Excel. Learn more: https://go.microsoft.com/fwlink/?linkid=870924
Comment:
    https://europa.eu/youreurope/business/taxation/vat/vat-rules-rates/index_en.htm</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tc={ADE5DBA2-996F-4770-832E-AFE4F4BE7ADF}</author>
  </authors>
  <commentList>
    <comment ref="C54" authorId="0" shapeId="0" xr:uid="{ADE5DBA2-996F-4770-832E-AFE4F4BE7ADF}">
      <text>
        <t>[Threaded comment]
Your version of Excel allows you to read this threaded comment; however, any edits to it will get removed if the file is opened in a newer version of Excel. Learn more: https://go.microsoft.com/fwlink/?linkid=870924
Comment:
    https://europa.eu/youreurope/business/taxation/vat/vat-rules-rates/index_en.htm</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tc={E8453DA2-54D4-4F9A-AE43-17FF31C38BDB}</author>
  </authors>
  <commentList>
    <comment ref="C53" authorId="0" shapeId="0" xr:uid="{E8453DA2-54D4-4F9A-AE43-17FF31C38BDB}">
      <text>
        <t>[Threaded comment]
Your version of Excel allows you to read this threaded comment; however, any edits to it will get removed if the file is opened in a newer version of Excel. Learn more: https://go.microsoft.com/fwlink/?linkid=870924
Comment:
    https://europa.eu/youreurope/business/taxation/vat/vat-rules-rates/index_en.htm</t>
      </text>
    </comment>
  </commentList>
</comments>
</file>

<file path=xl/sharedStrings.xml><?xml version="1.0" encoding="utf-8"?>
<sst xmlns="http://schemas.openxmlformats.org/spreadsheetml/2006/main" count="1875" uniqueCount="358">
  <si>
    <t>Social Cost-Benefit Analysis Tool (Regio1st SCBA tool)</t>
  </si>
  <si>
    <t>REGIO1st Planning Framework</t>
  </si>
  <si>
    <t>Stage 5 - Performing a Cost-Benefit Analysis</t>
  </si>
  <si>
    <t>https://ieecp.org/projects/regio1st/</t>
  </si>
  <si>
    <t>Date of last update</t>
  </si>
  <si>
    <t>Version number</t>
  </si>
  <si>
    <t>1</t>
  </si>
  <si>
    <t>Prepared by</t>
  </si>
  <si>
    <t>IEECP - Institute for European Energy and Climate Policy</t>
  </si>
  <si>
    <t>Contact</t>
  </si>
  <si>
    <t>marco@ieecp.org</t>
  </si>
  <si>
    <t>Co-founded by the European Union under project n°101076088. Views and opinions expressed are however those of the</t>
  </si>
  <si>
    <t>author(s) only and do not necessarily reflect those of the European Union or CINEA. Neither the European Union nor the</t>
  </si>
  <si>
    <t>granting authority can be held responsible for them.</t>
  </si>
  <si>
    <t>User instructions</t>
  </si>
  <si>
    <t>Guidance</t>
  </si>
  <si>
    <t>Objective</t>
  </si>
  <si>
    <t>The Social Cost-Benefit Analysis tool was developed to quantify the implementation of different types of policies promoting energy efficiency. The tool aims at understanding regional decision processes and at validating the framework to customize it for further replication in other EU regions. Additionally, the SCBA tool aims to help the regions structure their regional decision-making processes in a way that leads to informed decisions where the EE1st principle is considered.</t>
  </si>
  <si>
    <t>Description</t>
  </si>
  <si>
    <t>This tool (Social Cost-Benefit Analysis) is a structured tool designed to quantify social impacts that might not be considered when quantifying multiple impacts resulting from the implementation of different policies. The tool aids regions and their planners to select the most optimal policy option considering not only economic factors, but social ones too. It provides a simplified way for regions and planners to consider all the multiple impacts that might arise when implementing policies promoting energy efficiency. This tool allows the comparison between an original CBA, where only economic factors are considered, and a social CBA, where also other social factors are considered.</t>
  </si>
  <si>
    <t>Scenario Description</t>
  </si>
  <si>
    <t>Baseline Scenario</t>
  </si>
  <si>
    <t>The baseline scenario compares the installation of higher energy efficient gas boilers to the current one used by most of the population (which of course could be other fuels for heating, such as biomass individual boilers or district heating with various sources). Essentially, this scenario explores what investing in fossil fuels would result in.</t>
  </si>
  <si>
    <t>Scenario 1 - Deep renovation</t>
  </si>
  <si>
    <t>Scenario1 – Deep renovation analyses a situation in which the available regional budgets are devoted to the energy investments on the supply side for both space heating and cooling purposes and upgrading existing building envelopes including window frames, doors, walls, roof, and floor area of the buildings with more energy efficient ones.</t>
  </si>
  <si>
    <t>Scenario 1 - Medium renovation</t>
  </si>
  <si>
    <t>Scenario 1 – Medium renovation analyses a situation similar to the one previously described. However, in this case smaller retrofit investments are considered which result in a smaller general energy efficiency improvement of the building.</t>
  </si>
  <si>
    <t>Scenario 2 - Heat pump implementation</t>
  </si>
  <si>
    <t>Scenario 2 refers solely to heating and cooling system substitution and assumed that the available regional budgets for the development and expansion of the supply side energy investments would be used to install heat pumps in the residential buildings</t>
  </si>
  <si>
    <t>Scenario 3 - Deep renovation</t>
  </si>
  <si>
    <t>This scenario analyses a situation in which the available budget for the supply side energy investments would be employed to promote zero-energy buildings (ZEBs) by combining a set of different investments. Namely, thermally insulating the exterior masonry, improving the cavity wall and solid insulation on wall/roof insulation and floor, façade, replacing existing window frames with more energy efficient ones, installing heat pumps in residential buildings, and installations of the photovoltaic solar panels</t>
  </si>
  <si>
    <t>Scenario 3 - Medium renovation</t>
  </si>
  <si>
    <t xml:space="preserve">In this case smaller renovation investments are considered which result in a smaller general energy efficiency improvement of the building. Nonetheless, an implementation of heat pumps and photovoltaics is foreseen. </t>
  </si>
  <si>
    <t>Methodology</t>
  </si>
  <si>
    <t>In order to provide comparisons between a CBA and SCBA, planners need to:</t>
  </si>
  <si>
    <t>1. Identify system boundaries, in this case being fuel prices, energy consumptions, efficiency of different fuel technologies</t>
  </si>
  <si>
    <t>2. Establish different scenarios</t>
  </si>
  <si>
    <t>3. Identify and quantify externalities</t>
  </si>
  <si>
    <t>4. Compare the different indicators per scenario, being NPV, IRR, B/C</t>
  </si>
  <si>
    <t>How do I use this tool?</t>
  </si>
  <si>
    <r>
      <t xml:space="preserve">As a general rule, all cells indicated </t>
    </r>
    <r>
      <rPr>
        <b/>
        <sz val="12"/>
        <color theme="9"/>
        <rFont val="Grandview"/>
        <family val="2"/>
        <charset val="161"/>
      </rPr>
      <t>in orange need to be filled in.</t>
    </r>
  </si>
  <si>
    <t>The first step will be to fill in the sheets where the electiricity, gas prices, and other fuel prices are indicated</t>
  </si>
  <si>
    <t>The electricity and gas prices are taken from Eurostat. Nonetheless, in case the user wants to change these or found more udpates figures, these can be freely modified, as with any component of the tool.</t>
  </si>
  <si>
    <t>The second step will be to fill in all the orange cells in the Scenario 0 sheets</t>
  </si>
  <si>
    <t>This includes the budget, the energy consumption, the efficiencies of different fuel technologies, and the share of households that use a certain type of fuel</t>
  </si>
  <si>
    <t>Lastly, the user is required to fill in any other orange cells that might be seen in the other sheets</t>
  </si>
  <si>
    <t>Please note, the externality values were gathered from literature, nonetheless the user is free to change these as well if deemed needed.</t>
  </si>
  <si>
    <t>Finally, the user will be able to see all the different scenarios compared in the "Conclusions" Sheet</t>
  </si>
  <si>
    <t>Scientific base</t>
  </si>
  <si>
    <t>The CBA aims to examine the social profitability of the examined energy efficiency projects, justifying the potential utilization of specific financial schemes (such as subsidies) in relation with the results of the financial analysis. The conduction of the financial analysis and the social CBA leads to the calculation of two different indicators, namely the financial Net Present Value (NPV) (or the financial Internal Rate of Return (IRR)) and the social NPV (or the social IRR respectively). Another considered metric is the Benefit-to-Cost Ratio (B/C Ratio).</t>
  </si>
  <si>
    <t>Potential result of calculations </t>
  </si>
  <si>
    <t>Financial NPV</t>
  </si>
  <si>
    <t>Social NPV </t>
  </si>
  <si>
    <t>Conclusions</t>
  </si>
  <si>
    <t>Next steps</t>
  </si>
  <si>
    <r>
      <t>1</t>
    </r>
    <r>
      <rPr>
        <b/>
        <vertAlign val="superscript"/>
        <sz val="12"/>
        <color rgb="FF000000"/>
        <rFont val="Grandview Display"/>
        <family val="2"/>
      </rPr>
      <t>st</t>
    </r>
    <r>
      <rPr>
        <b/>
        <sz val="12"/>
        <color rgb="FF000000"/>
        <rFont val="Grandview Display"/>
        <family val="2"/>
      </rPr>
      <t xml:space="preserve">  </t>
    </r>
  </si>
  <si>
    <r>
      <t>≥</t>
    </r>
    <r>
      <rPr>
        <sz val="12"/>
        <color rgb="FF000000"/>
        <rFont val="Grandview Display"/>
        <family val="2"/>
      </rPr>
      <t xml:space="preserve"> 0</t>
    </r>
  </si>
  <si>
    <t>Economically and socially beneficial to invest/implement projects/interventions.</t>
  </si>
  <si>
    <t>Promoting these types of investments/interventions</t>
  </si>
  <si>
    <r>
      <t>2</t>
    </r>
    <r>
      <rPr>
        <b/>
        <vertAlign val="superscript"/>
        <sz val="12"/>
        <color theme="1"/>
        <rFont val="Grandview Display"/>
        <family val="2"/>
      </rPr>
      <t>nd</t>
    </r>
    <r>
      <rPr>
        <b/>
        <sz val="12"/>
        <color theme="1"/>
        <rFont val="Grandview Display"/>
        <family val="2"/>
      </rPr>
      <t xml:space="preserve"> </t>
    </r>
  </si>
  <si>
    <r>
      <t>≤</t>
    </r>
    <r>
      <rPr>
        <sz val="12"/>
        <color theme="1"/>
        <rFont val="Grandview Display"/>
        <family val="2"/>
      </rPr>
      <t xml:space="preserve"> 0</t>
    </r>
  </si>
  <si>
    <r>
      <t>≥</t>
    </r>
    <r>
      <rPr>
        <sz val="12"/>
        <color theme="1"/>
        <rFont val="Grandview Display"/>
        <family val="2"/>
      </rPr>
      <t xml:space="preserve"> 0</t>
    </r>
  </si>
  <si>
    <t>Economically is not beneficial. However, socially is important to invest/implement the project/intervention.</t>
  </si>
  <si>
    <t>Providing financial supports, e.g., subsidies, increasing municipality’s equity share in the investment </t>
  </si>
  <si>
    <r>
      <t>3</t>
    </r>
    <r>
      <rPr>
        <b/>
        <vertAlign val="superscript"/>
        <sz val="12"/>
        <color rgb="FF000000"/>
        <rFont val="Grandview Display"/>
        <family val="2"/>
      </rPr>
      <t>rd</t>
    </r>
    <r>
      <rPr>
        <b/>
        <sz val="12"/>
        <color rgb="FF000000"/>
        <rFont val="Grandview Display"/>
        <family val="2"/>
      </rPr>
      <t xml:space="preserve">  </t>
    </r>
  </si>
  <si>
    <r>
      <t>≤</t>
    </r>
    <r>
      <rPr>
        <sz val="12"/>
        <color rgb="FF000000"/>
        <rFont val="Grandview Display"/>
        <family val="2"/>
      </rPr>
      <t xml:space="preserve"> 0</t>
    </r>
  </si>
  <si>
    <t>Economically is beneficial to invest on a project and not socially beneficial.</t>
  </si>
  <si>
    <t>Penalty for the investors and imposing the incentives that distribute the economic benefits among different groups, such as tax.</t>
  </si>
  <si>
    <r>
      <t>4</t>
    </r>
    <r>
      <rPr>
        <b/>
        <vertAlign val="superscript"/>
        <sz val="12"/>
        <color theme="1"/>
        <rFont val="Grandview Display"/>
        <family val="2"/>
      </rPr>
      <t>th</t>
    </r>
    <r>
      <rPr>
        <b/>
        <sz val="12"/>
        <color theme="1"/>
        <rFont val="Grandview Display"/>
        <family val="2"/>
      </rPr>
      <t xml:space="preserve">  </t>
    </r>
  </si>
  <si>
    <t>Economically and socially is not beneficial.</t>
  </si>
  <si>
    <t>Stop the investments/interventions </t>
  </si>
  <si>
    <t>Fuel prices</t>
  </si>
  <si>
    <t>Price with tax and levies</t>
  </si>
  <si>
    <t>Net price</t>
  </si>
  <si>
    <t>Electricity (E/MWh)</t>
  </si>
  <si>
    <t>Petroleum</t>
  </si>
  <si>
    <t>Natural gas</t>
  </si>
  <si>
    <t>Solar thermal</t>
  </si>
  <si>
    <t>Biomass</t>
  </si>
  <si>
    <t>Ambient heat</t>
  </si>
  <si>
    <t>District heating</t>
  </si>
  <si>
    <t>Other</t>
  </si>
  <si>
    <t>Baseline Scenario - Cost-Benefit Analysis</t>
  </si>
  <si>
    <t xml:space="preserve">Instructions: </t>
  </si>
  <si>
    <t>all cells indicated in orange need to be filled in.</t>
  </si>
  <si>
    <t>Available budget for Natural Gas network expansion</t>
  </si>
  <si>
    <t>€</t>
  </si>
  <si>
    <t>Year</t>
  </si>
  <si>
    <t>Cost</t>
  </si>
  <si>
    <t>Benefit</t>
  </si>
  <si>
    <t>Fuel cost</t>
  </si>
  <si>
    <t>Fuel benefit</t>
  </si>
  <si>
    <t>Investment cost</t>
  </si>
  <si>
    <t>Remaining value</t>
  </si>
  <si>
    <t>Net cash flow</t>
  </si>
  <si>
    <t>Unitary investment cost</t>
  </si>
  <si>
    <t>Unitary investment cost with subsidy</t>
  </si>
  <si>
    <t>Avoided cost from natural gas boiler</t>
  </si>
  <si>
    <t>Number of influenced households</t>
  </si>
  <si>
    <t>nr of households</t>
  </si>
  <si>
    <t>Unitary energy consumption for space cooling</t>
  </si>
  <si>
    <t>kWh</t>
  </si>
  <si>
    <t>Unitary energy consumption for space heating</t>
  </si>
  <si>
    <t>Degree of efficiency of new natural gas boiler</t>
  </si>
  <si>
    <t>%</t>
  </si>
  <si>
    <t>Degree of efficiency of existing natural gas boiler</t>
  </si>
  <si>
    <t>Unitary energy consumption after gas to gas changes</t>
  </si>
  <si>
    <t>Degree of efficiency of petroleum boiler</t>
  </si>
  <si>
    <t>Degree of efficiency of biomass boiler</t>
  </si>
  <si>
    <t>Degree of efficiency of electric boiler</t>
  </si>
  <si>
    <t>Unitary energy consumption after petroleum to gas changes</t>
  </si>
  <si>
    <t>Unitary energy consumption after biomass to gas changes</t>
  </si>
  <si>
    <t>Unitary energy consumption after electricity to gas changes</t>
  </si>
  <si>
    <t>Electricity price</t>
  </si>
  <si>
    <t>€/kWh</t>
  </si>
  <si>
    <t>Natural gas price</t>
  </si>
  <si>
    <t>Total</t>
  </si>
  <si>
    <t>Petroleum price</t>
  </si>
  <si>
    <t>Cost of operation and maintenance - Baseline scenario</t>
  </si>
  <si>
    <t>Cost of operation and maintenance - Alternative scenario</t>
  </si>
  <si>
    <t>% investment cost</t>
  </si>
  <si>
    <t>Discount rate</t>
  </si>
  <si>
    <t>Biomass price</t>
  </si>
  <si>
    <t>Fuel share per households in the region</t>
  </si>
  <si>
    <t>Final average energy consumption after interventions</t>
  </si>
  <si>
    <t>% of energy savings in space cooling</t>
  </si>
  <si>
    <t>Petroleum derivatives</t>
  </si>
  <si>
    <t>% of energy savings in space heating</t>
  </si>
  <si>
    <t>Electricity</t>
  </si>
  <si>
    <t>Unitary energy savings in space cooling</t>
  </si>
  <si>
    <t>Unitary energy savings in space heating</t>
  </si>
  <si>
    <t>Tot consumption</t>
  </si>
  <si>
    <t>Cooling (1% of total)</t>
  </si>
  <si>
    <t>NPV</t>
  </si>
  <si>
    <t>IRR</t>
  </si>
  <si>
    <t>B/C</t>
  </si>
  <si>
    <t>Subsidy</t>
  </si>
  <si>
    <t>With ETS2 price increase</t>
  </si>
  <si>
    <t>(Y=1, N=0)</t>
  </si>
  <si>
    <t>NG price ETS2 Year 3</t>
  </si>
  <si>
    <t>NG price ETS2 Year 4</t>
  </si>
  <si>
    <t>NG price ETS2 Year 5</t>
  </si>
  <si>
    <t>NG price ETS2 Year 6</t>
  </si>
  <si>
    <t>Petroleum price ETS 2 Year 3</t>
  </si>
  <si>
    <t>Petroleum price ETS 2 Year 4</t>
  </si>
  <si>
    <t>Petroleum price ETS 2 Year 5</t>
  </si>
  <si>
    <t>Petroleum price ETS 2 Year 6</t>
  </si>
  <si>
    <t>Baseline Scenario - Social Cost-Benefit Analysis</t>
  </si>
  <si>
    <t>External cost</t>
  </si>
  <si>
    <t>External benefit</t>
  </si>
  <si>
    <t>Avoided cost from natural gas boilers</t>
  </si>
  <si>
    <t>Number of affected households</t>
  </si>
  <si>
    <t>number</t>
  </si>
  <si>
    <t>% of capital cost</t>
  </si>
  <si>
    <t>Energy savings in space cooling</t>
  </si>
  <si>
    <t>Energy savings in space heating</t>
  </si>
  <si>
    <t>Building value integration</t>
  </si>
  <si>
    <t>1: yes, 2: no</t>
  </si>
  <si>
    <t>Employment method</t>
  </si>
  <si>
    <t>1: net, 2: gross</t>
  </si>
  <si>
    <t>Type of multiple benefits</t>
  </si>
  <si>
    <t>1-5 or 0</t>
  </si>
  <si>
    <t>Enviromental externalities</t>
  </si>
  <si>
    <t>Data</t>
  </si>
  <si>
    <t>external cost</t>
  </si>
  <si>
    <t>€/MWh</t>
  </si>
  <si>
    <t>Oil boiler-existing</t>
  </si>
  <si>
    <t>Oil boiler-new</t>
  </si>
  <si>
    <t>NG boiler-existing</t>
  </si>
  <si>
    <t>NG boiler-new</t>
  </si>
  <si>
    <t>HP-existing</t>
  </si>
  <si>
    <t>HP-new</t>
  </si>
  <si>
    <t>Electricity-current</t>
  </si>
  <si>
    <t>PV-new</t>
  </si>
  <si>
    <t>Solar-new</t>
  </si>
  <si>
    <t>Electric boiler</t>
  </si>
  <si>
    <t>District heating (lignite)</t>
  </si>
  <si>
    <t>Increase of building value</t>
  </si>
  <si>
    <t>Capitalization rate</t>
  </si>
  <si>
    <t>Total cost savings</t>
  </si>
  <si>
    <t>Energy savings</t>
  </si>
  <si>
    <t>O&amp;M savings</t>
  </si>
  <si>
    <t>Building value increase-total</t>
  </si>
  <si>
    <t>multiple benefits</t>
  </si>
  <si>
    <t>Insulation + Windows + HVAC + Lighting</t>
  </si>
  <si>
    <t>Insulation + Windows</t>
  </si>
  <si>
    <t>Windows and/or HVAC and/or Lighting</t>
  </si>
  <si>
    <t>Insulation and/or HVAC and/or Lighting</t>
  </si>
  <si>
    <t>HVAC and/or Lighting</t>
  </si>
  <si>
    <t>Multiple benefits-Alternative</t>
  </si>
  <si>
    <t>multiplier-type</t>
  </si>
  <si>
    <t>value</t>
  </si>
  <si>
    <t>VAT Rate</t>
  </si>
  <si>
    <t>Scenario 1 - Deep Renovation Cost-Benefit Analysis</t>
  </si>
  <si>
    <t>number of households</t>
  </si>
  <si>
    <t>% of investment cost</t>
  </si>
  <si>
    <t>Scenario 1 - Medium Renovation Cost-Benefit Analysis</t>
  </si>
  <si>
    <t>Scenario 1 - Deep Renovation Social Cost-Benefit Analysis</t>
  </si>
  <si>
    <t>Avoided cost from new fossil fuel boiler</t>
  </si>
  <si>
    <t>Scenario 1 - Medium Renovation Social Cost-Benefit Analysis</t>
  </si>
  <si>
    <t>Scenario 2 - Heat pump implementation - Cost-Benefit Analysis</t>
  </si>
  <si>
    <t>Degree of efficiency of heat pump</t>
  </si>
  <si>
    <t>Average efficiency after interventions</t>
  </si>
  <si>
    <t>Unitary energy consumption for space heating after interventions</t>
  </si>
  <si>
    <t>% of investment costs</t>
  </si>
  <si>
    <t>Scenario 2 - Heat pump implpementation - Social Cost-Benefit Analysis</t>
  </si>
  <si>
    <t>Scenario 3 - Deep Renovation Cost-Benefit Analysis</t>
  </si>
  <si>
    <t>O&amp;M Cost</t>
  </si>
  <si>
    <t>O&amp;M Benefit</t>
  </si>
  <si>
    <t>Avoided cost from fossil fuel boiler</t>
  </si>
  <si>
    <t>Unitary investment cost-building envelope</t>
  </si>
  <si>
    <t>Unitary investment cost-Heat pump</t>
  </si>
  <si>
    <t>Unitary investment cost for PV</t>
  </si>
  <si>
    <t>Installed capacity - PV</t>
  </si>
  <si>
    <t xml:space="preserve">kW </t>
  </si>
  <si>
    <t>Cost of installation - PV without VAT</t>
  </si>
  <si>
    <t xml:space="preserve">€/kW </t>
  </si>
  <si>
    <t>Cost of installation - PV</t>
  </si>
  <si>
    <t>Cost of grid update/connection</t>
  </si>
  <si>
    <t>Energy consumption for space cooling</t>
  </si>
  <si>
    <t>Energy consumption for space heating</t>
  </si>
  <si>
    <t>COP heat pump</t>
  </si>
  <si>
    <t>Electricity consumption</t>
  </si>
  <si>
    <t>Electricity consumption after interventions</t>
  </si>
  <si>
    <t>Cost reduction due to net metering</t>
  </si>
  <si>
    <t>Electricity price - net metering</t>
  </si>
  <si>
    <t>Total energy savings</t>
  </si>
  <si>
    <t>Degree of efficiency of new gas boiler</t>
  </si>
  <si>
    <t>Electricity consumption= final energy conusmption from JRC * percentage of electricity in fec from eurostat</t>
  </si>
  <si>
    <t>Electricity consumption= 18966*0.24</t>
  </si>
  <si>
    <t>Scenario 3 - Medium Renovation Cost-Benefit Analysis</t>
  </si>
  <si>
    <t>Scenario 3 - Deep Renovation Social Cost-Benefit Analysis</t>
  </si>
  <si>
    <t>Capacity factor PV</t>
  </si>
  <si>
    <t>Coal boiler</t>
  </si>
  <si>
    <t>Biomass boiler</t>
  </si>
  <si>
    <t>Scenario 3 - Medium Renovation Social Cost-Benefit Analysis</t>
  </si>
  <si>
    <t>Μοναδιαίο κόστος επένδυσης-Φωτοβολταϊκό</t>
  </si>
  <si>
    <t>Μοναδιαίο κόστος επένδυσης με επιχορήγηση</t>
  </si>
  <si>
    <t>Εγκατεστημένη ισχύς-Φωτοβολταϊκό</t>
  </si>
  <si>
    <t xml:space="preserve">ΜW </t>
  </si>
  <si>
    <t>Κόστος εγκατάστασης-Φωτοβολταϊκό</t>
  </si>
  <si>
    <t>Αριθμός επηρεαζόμενων νοικοκυριών</t>
  </si>
  <si>
    <t>αριθμός νοικοκυριών</t>
  </si>
  <si>
    <t>Κατανάλωση ηλεκτρικής ενέργειας</t>
  </si>
  <si>
    <t>Τιμή ηλεκτρικής ενέργειας</t>
  </si>
  <si>
    <t>Τιμή ηλεκτρικής ενέργειας-Ενεργειακός συμψηφισμός</t>
  </si>
  <si>
    <t>Κόστος λειτουργίας και συντήρησης-Σενάριο αναφοράς</t>
  </si>
  <si>
    <t>Κόστος λειτουργίας και συντήρησης-Εναλλακτικό σενάριο</t>
  </si>
  <si>
    <t>% κόστους επένδυσης</t>
  </si>
  <si>
    <t>Υπολειπόμενη αξία</t>
  </si>
  <si>
    <t>Επιτόκιο προεξόφλησης</t>
  </si>
  <si>
    <t>Διαθέσιμος προϋπολογισμός για επέκταση δικτύου ΦΑ</t>
  </si>
  <si>
    <t>Συνολικό κόστος εγκατάστασης</t>
  </si>
  <si>
    <t>MW</t>
  </si>
  <si>
    <t>Συντελεστής χρησιμοποίησης-Φωτοβολταϊκό</t>
  </si>
  <si>
    <t>Μοναδιαίο κόστος επένδυσης-Κέλυφος</t>
  </si>
  <si>
    <t>Μοναδιαίο κόστος επένδυσης-Αντλία θερμότητας</t>
  </si>
  <si>
    <t>Αποφευχθέν κόστος από εγκατάσταση λεβήτων ΦΑ</t>
  </si>
  <si>
    <t>Μοναδιαία κατανάλωση ενέργειας για ψύξη χώρων</t>
  </si>
  <si>
    <t>Μοναδιαία κατανάλωση ενέργειας για θέρμανση χώρων</t>
  </si>
  <si>
    <t>Βαθμός απόδοσης λέβητα ΦΑ</t>
  </si>
  <si>
    <t>Βαθμός απόδοσης λέβητα πετρελαίου θέρμανσης</t>
  </si>
  <si>
    <t>Μοναδιαία κατανάλωση ενέργειας για θέρμανση χώρων-ΠΘ</t>
  </si>
  <si>
    <t>Βαθμός απόδοσης αντλίας θερμότητας</t>
  </si>
  <si>
    <t>Ποσοστό εξοικονόμησης ενέργειας για ψύξη χώρων</t>
  </si>
  <si>
    <t>Ποσοστό εξοικονόμησης ενέργειας για θέρμανση χώρων</t>
  </si>
  <si>
    <t>Εξοικονόμηση ενέργειας για ψύξη χώρων</t>
  </si>
  <si>
    <t>Εξοικονόμηση ενέργειας για θέρμανση χώρων</t>
  </si>
  <si>
    <t>Σταθμισμένη τιμή καυσίμου για θέρμανση χώρων</t>
  </si>
  <si>
    <t>Τιμή ΦΑ</t>
  </si>
  <si>
    <t>Κατανάλωση ηλεκτρικής ενέργειας μετά τις παρεμβάσεις</t>
  </si>
  <si>
    <t>Electricity prices for household consumers - bi-annual data (from 2007 onwards) [nrg_pc_204]</t>
  </si>
  <si>
    <t>PRODUCT</t>
  </si>
  <si>
    <t>Electrical energy</t>
  </si>
  <si>
    <t>CONSOM</t>
  </si>
  <si>
    <t>Band DC : 2 500 kWh &lt; Consumption &lt; 5 000 kWh</t>
  </si>
  <si>
    <t>UNIT</t>
  </si>
  <si>
    <t>Kilowatt-hour</t>
  </si>
  <si>
    <t>GEO</t>
  </si>
  <si>
    <t>CURRENCY</t>
  </si>
  <si>
    <t>Euro</t>
  </si>
  <si>
    <t>TAX/TIME</t>
  </si>
  <si>
    <t>2022S1</t>
  </si>
  <si>
    <t>2022S2</t>
  </si>
  <si>
    <t>2023S1</t>
  </si>
  <si>
    <t>2023S2</t>
  </si>
  <si>
    <t>avg</t>
  </si>
  <si>
    <t>Excluding taxes and levies</t>
  </si>
  <si>
    <t>Excluding VAT and other recoverable taxes and levies</t>
  </si>
  <si>
    <t>All taxes and levies included</t>
  </si>
  <si>
    <t>Gas prices for household consumers - bi-annual data (from 2007 onwards) [nrg_pc_202]</t>
  </si>
  <si>
    <t>Special value:</t>
  </si>
  <si>
    <t>Band D2 : 20 GJ &lt; Consumption &lt; 200 GJ</t>
  </si>
  <si>
    <t>Externalities</t>
  </si>
  <si>
    <t>Method</t>
  </si>
  <si>
    <t>Building</t>
  </si>
  <si>
    <t>Technology</t>
  </si>
  <si>
    <t>Fuel</t>
  </si>
  <si>
    <t>Cost of externals</t>
  </si>
  <si>
    <t>Units</t>
  </si>
  <si>
    <t>Heat pump</t>
  </si>
  <si>
    <t>Euro / MWhth</t>
  </si>
  <si>
    <t>Efficient Split unit - Heat pump</t>
  </si>
  <si>
    <t>Old Split unit - Heat pump</t>
  </si>
  <si>
    <t>Electric heater</t>
  </si>
  <si>
    <t>Electric water heater</t>
  </si>
  <si>
    <t>Euro / MWh cool</t>
  </si>
  <si>
    <t>Boiler</t>
  </si>
  <si>
    <t>Cogeneration</t>
  </si>
  <si>
    <t>Energy efficient boiler</t>
  </si>
  <si>
    <t>Oil</t>
  </si>
  <si>
    <t>LPG</t>
  </si>
  <si>
    <t>Solar panels</t>
  </si>
  <si>
    <t>Solar energy</t>
  </si>
  <si>
    <t>Coal</t>
  </si>
  <si>
    <t>Solid biomass</t>
  </si>
  <si>
    <t>Photovoltaic</t>
  </si>
  <si>
    <t>-</t>
  </si>
  <si>
    <t>Euro / MWhel</t>
  </si>
  <si>
    <t>Lignite</t>
  </si>
  <si>
    <t>Euro/MWh</t>
  </si>
  <si>
    <t>Thermal insulation - EPS/XPS</t>
  </si>
  <si>
    <r>
      <t>Euro / m</t>
    </r>
    <r>
      <rPr>
        <vertAlign val="superscript"/>
        <sz val="11"/>
        <color theme="1"/>
        <rFont val="Grandview"/>
        <family val="2"/>
      </rPr>
      <t>3</t>
    </r>
  </si>
  <si>
    <t>Thermal insulation - mineral wool</t>
  </si>
  <si>
    <t>Openings - Aluminium</t>
  </si>
  <si>
    <r>
      <t>Euro / m</t>
    </r>
    <r>
      <rPr>
        <vertAlign val="superscript"/>
        <sz val="11"/>
        <color theme="1"/>
        <rFont val="Grandview"/>
        <family val="2"/>
      </rPr>
      <t>2</t>
    </r>
  </si>
  <si>
    <t>Openings - PVC</t>
  </si>
  <si>
    <t>Openings - wood</t>
  </si>
  <si>
    <t>NET</t>
  </si>
  <si>
    <t>GROSS</t>
  </si>
  <si>
    <t>GVA</t>
  </si>
  <si>
    <t>employment</t>
  </si>
  <si>
    <t>mil. €/mil.€</t>
  </si>
  <si>
    <t>other units</t>
  </si>
  <si>
    <t>Insulation-new</t>
  </si>
  <si>
    <t>Windows-new</t>
  </si>
  <si>
    <t>Lighting-new</t>
  </si>
  <si>
    <t>Nr Households</t>
  </si>
  <si>
    <t>Scenario code</t>
  </si>
  <si>
    <t>Assumptions</t>
  </si>
  <si>
    <t>CBA</t>
  </si>
  <si>
    <t>SCBA</t>
  </si>
  <si>
    <t>Energy savings (in kWh)</t>
  </si>
  <si>
    <t>Direct</t>
  </si>
  <si>
    <t>With subsidy</t>
  </si>
  <si>
    <t>NPV per capita</t>
  </si>
  <si>
    <t>Sc0</t>
  </si>
  <si>
    <t>Changing to more efficient gas boiler</t>
  </si>
  <si>
    <t>Sc1 Deep</t>
  </si>
  <si>
    <t>Deep renovation (still on DH)</t>
  </si>
  <si>
    <t>Sc1 Medium</t>
  </si>
  <si>
    <t>Medium renovation (still on DH)</t>
  </si>
  <si>
    <t xml:space="preserve">Sc2 </t>
  </si>
  <si>
    <t>Heat pump implementation</t>
  </si>
  <si>
    <t>Sc3 Deep</t>
  </si>
  <si>
    <t>Deep renovation + heat pump + PV</t>
  </si>
  <si>
    <t>Sc3 Medium</t>
  </si>
  <si>
    <t>Medium renovation + heat pump + PV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</si>
</sst>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quot;€&quot;_-;\-* #,##0.00\ &quot;€&quot;_-;_-* &quot;-&quot;??\ &quot;€&quot;_-;_-@_-"/>
    <numFmt numFmtId="165" formatCode="#,##0\ [$€-1]"/>
    <numFmt numFmtId="166" formatCode="0.0%"/>
    <numFmt numFmtId="167" formatCode="0.0"/>
    <numFmt numFmtId="168" formatCode="#,##0.0"/>
    <numFmt numFmtId="169" formatCode="0.000"/>
    <numFmt numFmtId="170" formatCode="#,##0.0000"/>
    <numFmt numFmtId="171" formatCode="#,##0.000"/>
    <numFmt numFmtId="172" formatCode="#,##0.00\ [$€-1]"/>
  </numFmts>
  <fonts count="76">
    <font>
      <sz val="11"/>
      <color theme="1"/>
      <name val="Calibri"/>
      <family val="2"/>
      <scheme val="minor"/>
    </font>
    <font>
      <sz val="11"/>
      <color theme="1"/>
      <name val="Calibri"/>
      <family val="2"/>
      <charset val="161"/>
      <scheme val="minor"/>
    </font>
    <font>
      <b/>
      <sz val="11"/>
      <color theme="0"/>
      <name val="Calibri"/>
      <family val="2"/>
      <scheme val="minor"/>
    </font>
    <font>
      <b/>
      <sz val="11"/>
      <color theme="1"/>
      <name val="Calibri"/>
      <family val="2"/>
      <scheme val="minor"/>
    </font>
    <font>
      <b/>
      <sz val="10"/>
      <name val="Arial"/>
      <family val="2"/>
      <charset val="161"/>
    </font>
    <font>
      <b/>
      <sz val="11"/>
      <color rgb="FF002060"/>
      <name val="Calibri"/>
      <family val="2"/>
      <scheme val="minor"/>
    </font>
    <font>
      <sz val="10"/>
      <name val="Arial"/>
      <family val="2"/>
      <charset val="161"/>
    </font>
    <font>
      <sz val="10"/>
      <name val="Arial"/>
      <family val="2"/>
      <charset val="161"/>
    </font>
    <font>
      <sz val="10"/>
      <name val="Arial"/>
      <family val="2"/>
    </font>
    <font>
      <sz val="10"/>
      <color indexed="64"/>
      <name val="Arial"/>
      <family val="2"/>
      <charset val="161"/>
    </font>
    <font>
      <b/>
      <sz val="11"/>
      <color theme="1"/>
      <name val="Calibri"/>
      <family val="2"/>
      <charset val="161"/>
      <scheme val="minor"/>
    </font>
    <font>
      <b/>
      <i/>
      <sz val="11"/>
      <color theme="1"/>
      <name val="Calibri"/>
      <family val="2"/>
      <charset val="161"/>
      <scheme val="minor"/>
    </font>
    <font>
      <b/>
      <sz val="11"/>
      <color rgb="FFFF0000"/>
      <name val="Calibri"/>
      <family val="2"/>
      <scheme val="minor"/>
    </font>
    <font>
      <sz val="11"/>
      <color rgb="FFFF0000"/>
      <name val="Calibri"/>
      <family val="2"/>
      <scheme val="minor"/>
    </font>
    <font>
      <sz val="11"/>
      <name val="Arial"/>
      <family val="2"/>
    </font>
    <font>
      <sz val="8"/>
      <name val="Calibri"/>
      <family val="2"/>
      <scheme val="minor"/>
    </font>
    <font>
      <sz val="11"/>
      <color theme="1"/>
      <name val="Calibri"/>
      <family val="2"/>
      <scheme val="minor"/>
    </font>
    <font>
      <sz val="11"/>
      <color rgb="FF3F3F76"/>
      <name val="Calibri"/>
      <family val="2"/>
      <scheme val="minor"/>
    </font>
    <font>
      <sz val="11"/>
      <color rgb="FF006100"/>
      <name val="Calibri"/>
      <family val="2"/>
      <scheme val="minor"/>
    </font>
    <font>
      <sz val="11"/>
      <color rgb="FF9C0006"/>
      <name val="Calibri"/>
      <family val="2"/>
      <scheme val="minor"/>
    </font>
    <font>
      <sz val="11"/>
      <color theme="1"/>
      <name val="Calibri"/>
      <family val="2"/>
      <charset val="161"/>
      <scheme val="minor"/>
    </font>
    <font>
      <sz val="11"/>
      <color theme="1"/>
      <name val="Calibri"/>
      <family val="2"/>
      <charset val="161"/>
    </font>
    <font>
      <sz val="11"/>
      <color theme="1"/>
      <name val="Grandview"/>
      <family val="2"/>
    </font>
    <font>
      <sz val="9"/>
      <color rgb="FF595959"/>
      <name val="Grandview"/>
      <family val="2"/>
    </font>
    <font>
      <sz val="11"/>
      <color rgb="FF595959"/>
      <name val="Grandview"/>
      <family val="2"/>
    </font>
    <font>
      <sz val="11"/>
      <color rgb="FF29577E"/>
      <name val="Grandview"/>
      <family val="2"/>
    </font>
    <font>
      <b/>
      <sz val="11"/>
      <color rgb="FF29577E"/>
      <name val="Grandview"/>
      <family val="2"/>
    </font>
    <font>
      <b/>
      <sz val="16"/>
      <color theme="1"/>
      <name val="Grandview"/>
      <family val="2"/>
    </font>
    <font>
      <u/>
      <sz val="11"/>
      <color theme="10"/>
      <name val="Calibri"/>
      <family val="2"/>
      <scheme val="minor"/>
    </font>
    <font>
      <b/>
      <sz val="14"/>
      <color theme="4"/>
      <name val="Grandview"/>
      <family val="2"/>
    </font>
    <font>
      <b/>
      <sz val="14"/>
      <color theme="0"/>
      <name val="Grandview"/>
      <family val="2"/>
    </font>
    <font>
      <b/>
      <sz val="15"/>
      <color theme="4"/>
      <name val="Grandview"/>
      <family val="2"/>
    </font>
    <font>
      <b/>
      <sz val="13"/>
      <color rgb="FF008080"/>
      <name val="Grandview"/>
      <family val="2"/>
    </font>
    <font>
      <sz val="11"/>
      <name val="Calibri"/>
      <family val="2"/>
      <charset val="161"/>
    </font>
    <font>
      <b/>
      <sz val="11"/>
      <color theme="9"/>
      <name val="Grandview"/>
      <family val="2"/>
    </font>
    <font>
      <sz val="11"/>
      <color theme="1"/>
      <name val="Grandview"/>
      <family val="2"/>
    </font>
    <font>
      <sz val="11"/>
      <color theme="0"/>
      <name val="Grandview"/>
      <family val="2"/>
    </font>
    <font>
      <sz val="11"/>
      <name val="Calibri"/>
      <family val="2"/>
    </font>
    <font>
      <b/>
      <sz val="11"/>
      <color theme="0"/>
      <name val="Grandview"/>
      <family val="2"/>
    </font>
    <font>
      <sz val="10"/>
      <color theme="1"/>
      <name val="Grandview"/>
      <family val="2"/>
    </font>
    <font>
      <sz val="36"/>
      <color theme="1"/>
      <name val="Grandview"/>
      <family val="2"/>
    </font>
    <font>
      <sz val="11"/>
      <color rgb="FF3F3F76"/>
      <name val="Grandview"/>
      <family val="2"/>
    </font>
    <font>
      <b/>
      <sz val="10"/>
      <name val="Grandview"/>
      <family val="2"/>
    </font>
    <font>
      <b/>
      <sz val="11"/>
      <color theme="1"/>
      <name val="Grandview"/>
      <family val="2"/>
    </font>
    <font>
      <b/>
      <sz val="11"/>
      <color rgb="FF002060"/>
      <name val="Grandview"/>
      <family val="2"/>
    </font>
    <font>
      <sz val="11"/>
      <color rgb="FFFF0000"/>
      <name val="Grandview"/>
      <family val="2"/>
    </font>
    <font>
      <b/>
      <sz val="11"/>
      <color rgb="FFFF0000"/>
      <name val="Grandview"/>
      <family val="2"/>
    </font>
    <font>
      <b/>
      <i/>
      <sz val="11"/>
      <color theme="1"/>
      <name val="Grandview"/>
      <family val="2"/>
    </font>
    <font>
      <sz val="11"/>
      <name val="Grandview"/>
      <family val="2"/>
    </font>
    <font>
      <sz val="10"/>
      <name val="Grandview"/>
      <family val="2"/>
    </font>
    <font>
      <i/>
      <sz val="10"/>
      <name val="Grandview"/>
      <family val="2"/>
    </font>
    <font>
      <vertAlign val="superscript"/>
      <sz val="11"/>
      <color theme="1"/>
      <name val="Grandview"/>
      <family val="2"/>
    </font>
    <font>
      <b/>
      <sz val="11"/>
      <color rgb="FF000000"/>
      <name val="Grandview"/>
      <family val="2"/>
    </font>
    <font>
      <sz val="11"/>
      <color rgb="FF000000"/>
      <name val="Grandview"/>
      <family val="2"/>
    </font>
    <font>
      <b/>
      <sz val="11"/>
      <name val="Grandview"/>
      <family val="2"/>
    </font>
    <font>
      <sz val="24"/>
      <color theme="1"/>
      <name val="Grandview"/>
      <family val="2"/>
    </font>
    <font>
      <sz val="26"/>
      <name val="Grandview"/>
      <family val="2"/>
    </font>
    <font>
      <sz val="12"/>
      <color theme="1"/>
      <name val="Grandview Display"/>
      <family val="2"/>
    </font>
    <font>
      <b/>
      <sz val="12"/>
      <color theme="1"/>
      <name val="Grandview Display"/>
      <family val="2"/>
    </font>
    <font>
      <b/>
      <sz val="12"/>
      <color rgb="FFFFFFFF"/>
      <name val="Grandview Display"/>
      <family val="2"/>
    </font>
    <font>
      <b/>
      <sz val="12"/>
      <color rgb="FF000000"/>
      <name val="Grandview Display"/>
      <family val="2"/>
    </font>
    <font>
      <b/>
      <vertAlign val="superscript"/>
      <sz val="12"/>
      <color rgb="FF000000"/>
      <name val="Grandview Display"/>
      <family val="2"/>
    </font>
    <font>
      <sz val="12"/>
      <color rgb="FF000000"/>
      <name val="Cambria Math"/>
      <family val="1"/>
    </font>
    <font>
      <sz val="12"/>
      <color rgb="FF000000"/>
      <name val="Grandview Display"/>
      <family val="2"/>
    </font>
    <font>
      <b/>
      <vertAlign val="superscript"/>
      <sz val="12"/>
      <color theme="1"/>
      <name val="Grandview Display"/>
      <family val="2"/>
    </font>
    <font>
      <sz val="12"/>
      <color theme="1"/>
      <name val="Cambria Math"/>
      <family val="1"/>
    </font>
    <font>
      <b/>
      <sz val="12"/>
      <color rgb="FF29577E"/>
      <name val="Grandview"/>
      <family val="2"/>
      <charset val="161"/>
    </font>
    <font>
      <b/>
      <sz val="12"/>
      <color theme="1"/>
      <name val="Grandview"/>
      <family val="2"/>
      <charset val="161"/>
    </font>
    <font>
      <b/>
      <sz val="11"/>
      <color theme="1"/>
      <name val="Grandview"/>
      <family val="2"/>
      <charset val="161"/>
    </font>
    <font>
      <sz val="11"/>
      <color theme="9"/>
      <name val="Grandview"/>
      <family val="2"/>
      <charset val="161"/>
    </font>
    <font>
      <sz val="12"/>
      <color theme="9"/>
      <name val="Grandview"/>
      <family val="2"/>
      <charset val="161"/>
    </font>
    <font>
      <b/>
      <sz val="12"/>
      <color theme="9"/>
      <name val="Grandview"/>
      <family val="2"/>
      <charset val="161"/>
    </font>
    <font>
      <b/>
      <sz val="12"/>
      <color rgb="FF29577E"/>
      <name val="Grandview"/>
      <family val="2"/>
    </font>
    <font>
      <b/>
      <sz val="12"/>
      <color theme="1"/>
      <name val="Grandview"/>
      <family val="2"/>
    </font>
    <font>
      <sz val="31"/>
      <color theme="1"/>
      <name val="Grandview"/>
      <family val="2"/>
    </font>
    <font>
      <sz val="11"/>
      <name val="Calibri"/>
      <family val="2"/>
      <scheme val="minor"/>
    </font>
  </fonts>
  <fills count="37">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D9E1F2"/>
        <bgColor indexed="64"/>
      </patternFill>
    </fill>
    <fill>
      <patternFill patternType="solid">
        <fgColor rgb="FFFFFFFF"/>
        <bgColor indexed="64"/>
      </patternFill>
    </fill>
    <fill>
      <patternFill patternType="solid">
        <fgColor rgb="FF808080"/>
        <bgColor indexed="64"/>
      </patternFill>
    </fill>
    <fill>
      <patternFill patternType="solid">
        <fgColor theme="1" tint="0.499984740745262"/>
        <bgColor indexed="64"/>
      </patternFill>
    </fill>
    <fill>
      <patternFill patternType="solid">
        <fgColor indexed="44"/>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CC99"/>
      </patternFill>
    </fill>
    <fill>
      <patternFill patternType="solid">
        <fgColor rgb="FFC6EFCE"/>
      </patternFill>
    </fill>
    <fill>
      <patternFill patternType="solid">
        <fgColor rgb="FFFFC7CE"/>
      </patternFill>
    </fill>
    <fill>
      <patternFill patternType="solid">
        <fgColor rgb="FF97BDDD"/>
        <bgColor rgb="FF97BDDD"/>
      </patternFill>
    </fill>
    <fill>
      <patternFill patternType="solid">
        <fgColor rgb="FFF2F2F2"/>
        <bgColor rgb="FFF2F2F2"/>
      </patternFill>
    </fill>
    <fill>
      <patternFill patternType="solid">
        <fgColor rgb="FFFFD230"/>
        <bgColor rgb="FFFFD230"/>
      </patternFill>
    </fill>
    <fill>
      <patternFill patternType="solid">
        <fgColor rgb="FF00B4B0"/>
        <bgColor rgb="FF00B4B0"/>
      </patternFill>
    </fill>
    <fill>
      <patternFill patternType="solid">
        <fgColor rgb="FF008080"/>
        <bgColor rgb="FF008080"/>
      </patternFill>
    </fill>
    <fill>
      <patternFill patternType="solid">
        <fgColor rgb="FFFF8210"/>
        <bgColor rgb="FFFF8210"/>
      </patternFill>
    </fill>
    <fill>
      <patternFill patternType="solid">
        <fgColor theme="5" tint="0.39997558519241921"/>
        <bgColor indexed="64"/>
      </patternFill>
    </fill>
    <fill>
      <patternFill patternType="solid">
        <fgColor rgb="FF309BAE"/>
        <bgColor indexed="64"/>
      </patternFill>
    </fill>
    <fill>
      <patternFill patternType="solid">
        <fgColor rgb="FFD1EDF2"/>
        <bgColor indexed="64"/>
      </patternFill>
    </fill>
    <fill>
      <patternFill patternType="solid">
        <fgColor theme="0"/>
        <bgColor rgb="FFF2F2F2"/>
      </patternFill>
    </fill>
    <fill>
      <patternFill patternType="solid">
        <fgColor theme="5" tint="0.59999389629810485"/>
        <bgColor indexed="64"/>
      </patternFill>
    </fill>
    <fill>
      <patternFill patternType="solid">
        <fgColor theme="0"/>
        <bgColor rgb="FF00B4B0"/>
      </patternFill>
    </fill>
    <fill>
      <patternFill patternType="solid">
        <fgColor theme="0"/>
        <bgColor rgb="FF008080"/>
      </patternFill>
    </fill>
    <fill>
      <patternFill patternType="solid">
        <fgColor theme="0"/>
        <bgColor rgb="FFFF8210"/>
      </patternFill>
    </fill>
    <fill>
      <patternFill patternType="solid">
        <fgColor theme="0"/>
        <bgColor rgb="FFFFD23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7F7F7F"/>
      </left>
      <right style="thin">
        <color rgb="FF7F7F7F"/>
      </right>
      <top style="thin">
        <color rgb="FF7F7F7F"/>
      </top>
      <bottom style="thin">
        <color rgb="FF7F7F7F"/>
      </bottom>
      <diagonal/>
    </border>
    <border>
      <left style="hair">
        <color indexed="64"/>
      </left>
      <right style="hair">
        <color indexed="64"/>
      </right>
      <top style="hair">
        <color indexed="64"/>
      </top>
      <bottom style="hair">
        <color indexed="64"/>
      </bottom>
      <diagonal/>
    </border>
    <border>
      <left/>
      <right/>
      <top/>
      <bottom style="thick">
        <color theme="9"/>
      </bottom>
      <diagonal/>
    </border>
    <border>
      <left/>
      <right/>
      <top/>
      <bottom style="medium">
        <color theme="9"/>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indexed="64"/>
      </left>
      <right style="thin">
        <color indexed="64"/>
      </right>
      <top style="thin">
        <color indexed="64"/>
      </top>
      <bottom/>
      <diagonal/>
    </border>
    <border>
      <left/>
      <right style="medium">
        <color rgb="FF77CAD9"/>
      </right>
      <top/>
      <bottom style="medium">
        <color rgb="FF77CAD9"/>
      </bottom>
      <diagonal/>
    </border>
    <border>
      <left style="thin">
        <color rgb="FF000000"/>
      </left>
      <right/>
      <top style="thin">
        <color rgb="FF000000"/>
      </top>
      <bottom style="medium">
        <color rgb="FF309BAE"/>
      </bottom>
      <diagonal/>
    </border>
    <border>
      <left/>
      <right/>
      <top style="thin">
        <color rgb="FF000000"/>
      </top>
      <bottom style="medium">
        <color rgb="FF309BAE"/>
      </bottom>
      <diagonal/>
    </border>
    <border>
      <left/>
      <right style="thin">
        <color rgb="FF000000"/>
      </right>
      <top style="thin">
        <color rgb="FF000000"/>
      </top>
      <bottom style="medium">
        <color rgb="FF309BAE"/>
      </bottom>
      <diagonal/>
    </border>
    <border>
      <left style="thin">
        <color rgb="FF000000"/>
      </left>
      <right style="medium">
        <color rgb="FF77CAD9"/>
      </right>
      <top/>
      <bottom style="medium">
        <color rgb="FF77CAD9"/>
      </bottom>
      <diagonal/>
    </border>
    <border>
      <left/>
      <right style="thin">
        <color rgb="FF000000"/>
      </right>
      <top/>
      <bottom style="medium">
        <color rgb="FF77CAD9"/>
      </bottom>
      <diagonal/>
    </border>
    <border>
      <left style="thin">
        <color rgb="FF000000"/>
      </left>
      <right style="medium">
        <color rgb="FF77CAD9"/>
      </right>
      <top/>
      <bottom style="thin">
        <color rgb="FF000000"/>
      </bottom>
      <diagonal/>
    </border>
    <border>
      <left/>
      <right style="medium">
        <color rgb="FF77CAD9"/>
      </right>
      <top/>
      <bottom style="thin">
        <color rgb="FF000000"/>
      </bottom>
      <diagonal/>
    </border>
    <border>
      <left/>
      <right style="thin">
        <color rgb="FF000000"/>
      </right>
      <top/>
      <bottom style="thin">
        <color rgb="FF000000"/>
      </bottom>
      <diagonal/>
    </border>
    <border>
      <left/>
      <right/>
      <top style="medium">
        <color theme="9"/>
      </top>
      <bottom/>
      <diagonal/>
    </border>
    <border>
      <left style="thin">
        <color theme="0"/>
      </left>
      <right style="thin">
        <color theme="0"/>
      </right>
      <top style="thin">
        <color theme="0"/>
      </top>
      <bottom/>
      <diagonal/>
    </border>
  </borders>
  <cellStyleXfs count="17">
    <xf numFmtId="0" fontId="0" fillId="0" borderId="0"/>
    <xf numFmtId="0" fontId="6" fillId="0" borderId="0"/>
    <xf numFmtId="0" fontId="7" fillId="0" borderId="0"/>
    <xf numFmtId="0" fontId="6" fillId="0" borderId="0"/>
    <xf numFmtId="0" fontId="8" fillId="0" borderId="0"/>
    <xf numFmtId="0" fontId="9"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4" fillId="0" borderId="0"/>
    <xf numFmtId="0" fontId="17" fillId="19" borderId="8" applyNumberFormat="0" applyAlignment="0" applyProtection="0"/>
    <xf numFmtId="0" fontId="16" fillId="0" borderId="0"/>
    <xf numFmtId="0" fontId="16" fillId="11" borderId="9" applyNumberFormat="0" applyFont="0" applyBorder="0" applyAlignment="0" applyProtection="0">
      <alignment horizontal="center"/>
    </xf>
    <xf numFmtId="0" fontId="18" fillId="20" borderId="0" applyNumberFormat="0" applyBorder="0" applyAlignment="0" applyProtection="0"/>
    <xf numFmtId="0" fontId="19" fillId="21" borderId="0" applyNumberFormat="0" applyBorder="0" applyAlignment="0" applyProtection="0"/>
    <xf numFmtId="0" fontId="20" fillId="0" borderId="0"/>
    <xf numFmtId="0" fontId="28" fillId="0" borderId="0" applyNumberFormat="0" applyFill="0" applyBorder="0" applyAlignment="0" applyProtection="0"/>
  </cellStyleXfs>
  <cellXfs count="296">
    <xf numFmtId="0" fontId="0" fillId="0" borderId="0" xfId="0"/>
    <xf numFmtId="0" fontId="0" fillId="2" borderId="0" xfId="0" applyFill="1"/>
    <xf numFmtId="3" fontId="0" fillId="2" borderId="1" xfId="0" applyNumberFormat="1" applyFill="1" applyBorder="1" applyAlignment="1">
      <alignment horizontal="center"/>
    </xf>
    <xf numFmtId="165" fontId="0" fillId="4" borderId="1" xfId="0" applyNumberFormat="1" applyFill="1" applyBorder="1" applyAlignment="1">
      <alignment horizontal="center"/>
    </xf>
    <xf numFmtId="0" fontId="10" fillId="7" borderId="1" xfId="0" applyFont="1" applyFill="1" applyBorder="1" applyAlignment="1">
      <alignment horizontal="center"/>
    </xf>
    <xf numFmtId="166" fontId="0" fillId="2" borderId="1" xfId="0" applyNumberFormat="1" applyFill="1" applyBorder="1" applyAlignment="1">
      <alignment horizontal="center"/>
    </xf>
    <xf numFmtId="167" fontId="0" fillId="2" borderId="1" xfId="0" applyNumberFormat="1" applyFill="1" applyBorder="1" applyAlignment="1">
      <alignment horizontal="center"/>
    </xf>
    <xf numFmtId="168" fontId="0" fillId="2" borderId="1" xfId="0" applyNumberFormat="1" applyFill="1" applyBorder="1" applyAlignment="1">
      <alignment horizontal="center"/>
    </xf>
    <xf numFmtId="0" fontId="10" fillId="2" borderId="0" xfId="0" applyFont="1" applyFill="1"/>
    <xf numFmtId="0" fontId="10" fillId="2" borderId="1" xfId="0" applyFont="1" applyFill="1" applyBorder="1"/>
    <xf numFmtId="9" fontId="0" fillId="2" borderId="1" xfId="0" applyNumberFormat="1" applyFill="1" applyBorder="1" applyAlignment="1">
      <alignment horizontal="center"/>
    </xf>
    <xf numFmtId="0" fontId="3" fillId="2" borderId="1" xfId="0" applyFont="1" applyFill="1" applyBorder="1" applyAlignment="1">
      <alignment horizontal="center"/>
    </xf>
    <xf numFmtId="3" fontId="0" fillId="2" borderId="0" xfId="0" applyNumberFormat="1" applyFill="1" applyAlignment="1">
      <alignment horizontal="center"/>
    </xf>
    <xf numFmtId="4" fontId="0" fillId="2" borderId="1" xfId="0" applyNumberFormat="1" applyFill="1" applyBorder="1" applyAlignment="1">
      <alignment horizontal="center"/>
    </xf>
    <xf numFmtId="0" fontId="3" fillId="5" borderId="1" xfId="0" applyFont="1" applyFill="1" applyBorder="1" applyAlignment="1">
      <alignment horizontal="center"/>
    </xf>
    <xf numFmtId="3" fontId="5" fillId="2" borderId="1" xfId="0" applyNumberFormat="1" applyFont="1" applyFill="1" applyBorder="1" applyAlignment="1">
      <alignment horizontal="center"/>
    </xf>
    <xf numFmtId="9" fontId="5" fillId="2" borderId="1" xfId="0" applyNumberFormat="1" applyFont="1" applyFill="1" applyBorder="1" applyAlignment="1">
      <alignment horizontal="center"/>
    </xf>
    <xf numFmtId="2" fontId="5" fillId="2" borderId="1" xfId="0" applyNumberFormat="1" applyFont="1" applyFill="1" applyBorder="1" applyAlignment="1">
      <alignment horizontal="center"/>
    </xf>
    <xf numFmtId="0" fontId="2" fillId="15" borderId="1" xfId="0" applyFont="1" applyFill="1" applyBorder="1" applyAlignment="1">
      <alignment horizontal="left" wrapText="1"/>
    </xf>
    <xf numFmtId="0" fontId="0" fillId="2" borderId="1" xfId="0" applyFill="1" applyBorder="1" applyAlignment="1">
      <alignment horizontal="center"/>
    </xf>
    <xf numFmtId="0" fontId="11" fillId="2" borderId="1" xfId="0" applyFont="1" applyFill="1" applyBorder="1" applyAlignment="1">
      <alignment horizontal="right"/>
    </xf>
    <xf numFmtId="0" fontId="12" fillId="2" borderId="0" xfId="0" applyFont="1" applyFill="1" applyAlignment="1">
      <alignment horizontal="center"/>
    </xf>
    <xf numFmtId="0" fontId="12" fillId="2" borderId="0" xfId="0" applyFont="1" applyFill="1"/>
    <xf numFmtId="3" fontId="0" fillId="6" borderId="1" xfId="0" applyNumberFormat="1" applyFill="1" applyBorder="1" applyAlignment="1">
      <alignment horizontal="center"/>
    </xf>
    <xf numFmtId="3" fontId="0" fillId="6" borderId="1" xfId="0" quotePrefix="1" applyNumberFormat="1" applyFill="1" applyBorder="1" applyAlignment="1">
      <alignment horizontal="center"/>
    </xf>
    <xf numFmtId="0" fontId="10" fillId="7" borderId="1" xfId="0" applyFont="1" applyFill="1" applyBorder="1" applyAlignment="1">
      <alignment horizontal="center" vertical="center"/>
    </xf>
    <xf numFmtId="0" fontId="10" fillId="2" borderId="1" xfId="0" applyFont="1" applyFill="1" applyBorder="1" applyAlignment="1">
      <alignment horizontal="center"/>
    </xf>
    <xf numFmtId="0" fontId="4" fillId="3" borderId="1" xfId="0" applyFont="1" applyFill="1" applyBorder="1" applyAlignment="1">
      <alignment horizontal="center"/>
    </xf>
    <xf numFmtId="0" fontId="0" fillId="4" borderId="1" xfId="0" applyFill="1" applyBorder="1" applyAlignment="1">
      <alignment horizontal="center"/>
    </xf>
    <xf numFmtId="0" fontId="4" fillId="6" borderId="1" xfId="0" applyFont="1" applyFill="1" applyBorder="1" applyAlignment="1">
      <alignment horizontal="center"/>
    </xf>
    <xf numFmtId="3" fontId="0" fillId="15" borderId="1" xfId="0" applyNumberFormat="1" applyFill="1" applyBorder="1" applyAlignment="1">
      <alignment horizontal="center"/>
    </xf>
    <xf numFmtId="3" fontId="13" fillId="2" borderId="1" xfId="0" applyNumberFormat="1" applyFont="1" applyFill="1" applyBorder="1" applyAlignment="1">
      <alignment horizontal="center"/>
    </xf>
    <xf numFmtId="165" fontId="3" fillId="6" borderId="1" xfId="0" applyNumberFormat="1" applyFont="1" applyFill="1" applyBorder="1" applyAlignment="1">
      <alignment horizontal="center"/>
    </xf>
    <xf numFmtId="165" fontId="0" fillId="17" borderId="1" xfId="0" applyNumberFormat="1" applyFill="1" applyBorder="1" applyAlignment="1">
      <alignment horizontal="center"/>
    </xf>
    <xf numFmtId="4" fontId="13" fillId="2" borderId="1" xfId="0" applyNumberFormat="1" applyFont="1" applyFill="1" applyBorder="1" applyAlignment="1">
      <alignment horizontal="center"/>
    </xf>
    <xf numFmtId="9" fontId="13" fillId="2" borderId="1" xfId="0" applyNumberFormat="1" applyFont="1" applyFill="1" applyBorder="1" applyAlignment="1">
      <alignment horizontal="center"/>
    </xf>
    <xf numFmtId="3" fontId="0" fillId="18" borderId="1" xfId="0" applyNumberFormat="1" applyFill="1" applyBorder="1" applyAlignment="1">
      <alignment horizontal="center"/>
    </xf>
    <xf numFmtId="0" fontId="20" fillId="0" borderId="0" xfId="15"/>
    <xf numFmtId="0" fontId="21" fillId="0" borderId="0" xfId="15" applyFont="1"/>
    <xf numFmtId="0" fontId="22" fillId="22" borderId="0" xfId="15" applyFont="1" applyFill="1"/>
    <xf numFmtId="0" fontId="23" fillId="22" borderId="0" xfId="15" applyFont="1" applyFill="1" applyAlignment="1">
      <alignment horizontal="left"/>
    </xf>
    <xf numFmtId="14" fontId="24" fillId="22" borderId="0" xfId="15" applyNumberFormat="1" applyFont="1" applyFill="1" applyAlignment="1">
      <alignment horizontal="left"/>
    </xf>
    <xf numFmtId="0" fontId="24" fillId="22" borderId="0" xfId="15" applyFont="1" applyFill="1" applyAlignment="1">
      <alignment horizontal="left"/>
    </xf>
    <xf numFmtId="0" fontId="25" fillId="22" borderId="0" xfId="15" applyFont="1" applyFill="1" applyAlignment="1">
      <alignment horizontal="left"/>
    </xf>
    <xf numFmtId="49" fontId="24" fillId="22" borderId="0" xfId="15" applyNumberFormat="1" applyFont="1" applyFill="1" applyAlignment="1">
      <alignment horizontal="left"/>
    </xf>
    <xf numFmtId="167" fontId="24" fillId="22" borderId="0" xfId="15" applyNumberFormat="1" applyFont="1" applyFill="1" applyAlignment="1">
      <alignment horizontal="left"/>
    </xf>
    <xf numFmtId="0" fontId="25" fillId="22" borderId="0" xfId="15" applyFont="1" applyFill="1"/>
    <xf numFmtId="0" fontId="26" fillId="22" borderId="0" xfId="15" applyFont="1" applyFill="1"/>
    <xf numFmtId="0" fontId="27" fillId="22" borderId="0" xfId="15" applyFont="1" applyFill="1" applyAlignment="1">
      <alignment horizontal="left"/>
    </xf>
    <xf numFmtId="0" fontId="21" fillId="23" borderId="0" xfId="15" applyFont="1" applyFill="1"/>
    <xf numFmtId="0" fontId="28" fillId="22" borderId="0" xfId="16" applyFill="1"/>
    <xf numFmtId="14" fontId="28" fillId="22" borderId="0" xfId="16" applyNumberFormat="1" applyFill="1" applyAlignment="1">
      <alignment horizontal="left"/>
    </xf>
    <xf numFmtId="0" fontId="22" fillId="0" borderId="0" xfId="15" applyFont="1"/>
    <xf numFmtId="0" fontId="22" fillId="23" borderId="0" xfId="15" applyFont="1" applyFill="1"/>
    <xf numFmtId="0" fontId="29" fillId="22" borderId="0" xfId="15" applyFont="1" applyFill="1"/>
    <xf numFmtId="0" fontId="30" fillId="22" borderId="0" xfId="15" applyFont="1" applyFill="1"/>
    <xf numFmtId="0" fontId="31" fillId="23" borderId="10" xfId="15" applyFont="1" applyFill="1" applyBorder="1"/>
    <xf numFmtId="0" fontId="32" fillId="23" borderId="11" xfId="15" applyFont="1" applyFill="1" applyBorder="1"/>
    <xf numFmtId="0" fontId="22" fillId="23" borderId="0" xfId="15" applyFont="1" applyFill="1" applyAlignment="1">
      <alignment vertical="top"/>
    </xf>
    <xf numFmtId="0" fontId="34" fillId="23" borderId="0" xfId="15" applyFont="1" applyFill="1" applyAlignment="1">
      <alignment vertical="top"/>
    </xf>
    <xf numFmtId="0" fontId="36" fillId="24" borderId="12" xfId="0" applyFont="1" applyFill="1" applyBorder="1" applyAlignment="1">
      <alignment horizontal="center" vertical="center"/>
    </xf>
    <xf numFmtId="0" fontId="36" fillId="26" borderId="12" xfId="0" applyFont="1" applyFill="1" applyBorder="1" applyAlignment="1">
      <alignment horizontal="center" vertical="center"/>
    </xf>
    <xf numFmtId="0" fontId="36" fillId="27" borderId="12" xfId="0" applyFont="1" applyFill="1" applyBorder="1" applyAlignment="1">
      <alignment horizontal="center" vertical="center"/>
    </xf>
    <xf numFmtId="0" fontId="36" fillId="25" borderId="12" xfId="0" applyFont="1" applyFill="1" applyBorder="1" applyAlignment="1">
      <alignment horizontal="center" vertical="center"/>
    </xf>
    <xf numFmtId="0" fontId="36" fillId="27" borderId="13" xfId="0" applyFont="1" applyFill="1" applyBorder="1" applyAlignment="1">
      <alignment horizontal="center" vertical="center"/>
    </xf>
    <xf numFmtId="0" fontId="49" fillId="0" borderId="0" xfId="9" applyFont="1"/>
    <xf numFmtId="0" fontId="48" fillId="0" borderId="0" xfId="9" applyFont="1"/>
    <xf numFmtId="0" fontId="50" fillId="2" borderId="1" xfId="0" applyFont="1" applyFill="1" applyBorder="1" applyAlignment="1">
      <alignment horizontal="center"/>
    </xf>
    <xf numFmtId="3" fontId="49" fillId="2" borderId="1" xfId="0" applyNumberFormat="1" applyFont="1" applyFill="1" applyBorder="1" applyAlignment="1">
      <alignment horizontal="center"/>
    </xf>
    <xf numFmtId="0" fontId="49" fillId="16" borderId="3" xfId="9" applyFont="1" applyFill="1" applyBorder="1"/>
    <xf numFmtId="0" fontId="49" fillId="16" borderId="7" xfId="9" applyFont="1" applyFill="1" applyBorder="1"/>
    <xf numFmtId="170" fontId="49" fillId="0" borderId="3" xfId="9" applyNumberFormat="1" applyFont="1" applyBorder="1"/>
    <xf numFmtId="0" fontId="49" fillId="0" borderId="3" xfId="9" applyFont="1" applyBorder="1"/>
    <xf numFmtId="170" fontId="49" fillId="0" borderId="6" xfId="9" applyNumberFormat="1" applyFont="1" applyBorder="1"/>
    <xf numFmtId="0" fontId="49" fillId="16" borderId="3" xfId="9" applyFont="1" applyFill="1" applyBorder="1" applyAlignment="1">
      <alignment horizontal="center"/>
    </xf>
    <xf numFmtId="0" fontId="54" fillId="0" borderId="0" xfId="9" applyFont="1"/>
    <xf numFmtId="0" fontId="42" fillId="0" borderId="0" xfId="9" applyFont="1"/>
    <xf numFmtId="0" fontId="62" fillId="30" borderId="16" xfId="0" applyFont="1" applyFill="1" applyBorder="1" applyAlignment="1">
      <alignment vertical="center" wrapText="1"/>
    </xf>
    <xf numFmtId="0" fontId="63" fillId="30" borderId="16" xfId="0" applyFont="1" applyFill="1" applyBorder="1" applyAlignment="1">
      <alignment vertical="center" wrapText="1"/>
    </xf>
    <xf numFmtId="0" fontId="65" fillId="0" borderId="16" xfId="0" applyFont="1" applyBorder="1" applyAlignment="1">
      <alignment vertical="center" wrapText="1"/>
    </xf>
    <xf numFmtId="0" fontId="57" fillId="0" borderId="16" xfId="0" applyFont="1" applyBorder="1" applyAlignment="1">
      <alignment vertical="center" wrapText="1"/>
    </xf>
    <xf numFmtId="0" fontId="59" fillId="29" borderId="17" xfId="0" applyFont="1" applyFill="1" applyBorder="1" applyAlignment="1">
      <alignment vertical="center" wrapText="1"/>
    </xf>
    <xf numFmtId="0" fontId="59" fillId="29" borderId="18" xfId="0" applyFont="1" applyFill="1" applyBorder="1" applyAlignment="1">
      <alignment vertical="center" wrapText="1"/>
    </xf>
    <xf numFmtId="0" fontId="59" fillId="29" borderId="19" xfId="0" applyFont="1" applyFill="1" applyBorder="1" applyAlignment="1">
      <alignment vertical="center" wrapText="1"/>
    </xf>
    <xf numFmtId="0" fontId="60" fillId="30" borderId="20" xfId="0" applyFont="1" applyFill="1" applyBorder="1" applyAlignment="1">
      <alignment vertical="center" wrapText="1"/>
    </xf>
    <xf numFmtId="0" fontId="63" fillId="30" borderId="21" xfId="0" applyFont="1" applyFill="1" applyBorder="1" applyAlignment="1">
      <alignment vertical="center" wrapText="1"/>
    </xf>
    <xf numFmtId="0" fontId="58" fillId="0" borderId="20" xfId="0" applyFont="1" applyBorder="1" applyAlignment="1">
      <alignment vertical="center" wrapText="1"/>
    </xf>
    <xf numFmtId="0" fontId="57" fillId="0" borderId="21" xfId="0" applyFont="1" applyBorder="1" applyAlignment="1">
      <alignment vertical="center" wrapText="1"/>
    </xf>
    <xf numFmtId="0" fontId="58" fillId="0" borderId="22" xfId="0" applyFont="1" applyBorder="1" applyAlignment="1">
      <alignment vertical="center" wrapText="1"/>
    </xf>
    <xf numFmtId="0" fontId="65" fillId="0" borderId="23" xfId="0" applyFont="1" applyBorder="1" applyAlignment="1">
      <alignment vertical="center" wrapText="1"/>
    </xf>
    <xf numFmtId="0" fontId="57" fillId="0" borderId="23" xfId="0" applyFont="1" applyBorder="1" applyAlignment="1">
      <alignment vertical="center" wrapText="1"/>
    </xf>
    <xf numFmtId="0" fontId="57" fillId="0" borderId="24" xfId="0" applyFont="1" applyBorder="1" applyAlignment="1">
      <alignment vertical="center" wrapText="1"/>
    </xf>
    <xf numFmtId="0" fontId="22" fillId="31" borderId="0" xfId="15" applyFont="1" applyFill="1"/>
    <xf numFmtId="0" fontId="20" fillId="2" borderId="0" xfId="15" applyFill="1"/>
    <xf numFmtId="0" fontId="22" fillId="2" borderId="0" xfId="15" applyFont="1" applyFill="1"/>
    <xf numFmtId="3" fontId="41" fillId="19" borderId="8" xfId="10" applyNumberFormat="1" applyFont="1" applyAlignment="1" applyProtection="1">
      <alignment horizontal="center"/>
      <protection locked="0"/>
    </xf>
    <xf numFmtId="10" fontId="41" fillId="19" borderId="8" xfId="10" applyNumberFormat="1" applyFont="1" applyAlignment="1" applyProtection="1">
      <alignment horizontal="center"/>
      <protection locked="0"/>
    </xf>
    <xf numFmtId="0" fontId="41" fillId="19" borderId="8" xfId="10" applyNumberFormat="1" applyFont="1" applyProtection="1">
      <protection locked="0"/>
    </xf>
    <xf numFmtId="165" fontId="43" fillId="6" borderId="1" xfId="0" applyNumberFormat="1" applyFont="1" applyFill="1" applyBorder="1" applyAlignment="1" applyProtection="1">
      <alignment horizontal="center"/>
      <protection hidden="1"/>
    </xf>
    <xf numFmtId="2" fontId="41" fillId="0" borderId="8" xfId="10" applyNumberFormat="1" applyFont="1" applyFill="1" applyAlignment="1" applyProtection="1">
      <alignment horizontal="center"/>
      <protection hidden="1"/>
    </xf>
    <xf numFmtId="3" fontId="44" fillId="2" borderId="1" xfId="0" applyNumberFormat="1" applyFont="1" applyFill="1" applyBorder="1" applyAlignment="1" applyProtection="1">
      <alignment horizontal="center"/>
      <protection hidden="1"/>
    </xf>
    <xf numFmtId="9" fontId="44" fillId="2" borderId="1" xfId="0" applyNumberFormat="1" applyFont="1" applyFill="1" applyBorder="1" applyAlignment="1" applyProtection="1">
      <alignment horizontal="center"/>
      <protection hidden="1"/>
    </xf>
    <xf numFmtId="2" fontId="44" fillId="2" borderId="1" xfId="0" applyNumberFormat="1" applyFont="1" applyFill="1" applyBorder="1" applyAlignment="1" applyProtection="1">
      <alignment horizontal="center"/>
      <protection hidden="1"/>
    </xf>
    <xf numFmtId="0" fontId="38" fillId="15" borderId="1" xfId="0" applyFont="1" applyFill="1" applyBorder="1" applyAlignment="1" applyProtection="1">
      <alignment horizontal="left" wrapText="1"/>
      <protection hidden="1"/>
    </xf>
    <xf numFmtId="0" fontId="43" fillId="2" borderId="0" xfId="0" applyFont="1" applyFill="1" applyAlignment="1" applyProtection="1">
      <alignment vertical="center"/>
      <protection hidden="1"/>
    </xf>
    <xf numFmtId="3" fontId="45" fillId="2" borderId="1" xfId="0" applyNumberFormat="1" applyFont="1" applyFill="1" applyBorder="1" applyAlignment="1" applyProtection="1">
      <alignment horizontal="center"/>
      <protection hidden="1"/>
    </xf>
    <xf numFmtId="10" fontId="48" fillId="2" borderId="1" xfId="0" applyNumberFormat="1" applyFont="1" applyFill="1" applyBorder="1" applyAlignment="1" applyProtection="1">
      <alignment horizontal="center"/>
      <protection hidden="1"/>
    </xf>
    <xf numFmtId="4" fontId="48" fillId="2" borderId="1" xfId="0" applyNumberFormat="1" applyFont="1" applyFill="1" applyBorder="1" applyAlignment="1" applyProtection="1">
      <alignment horizontal="center"/>
      <protection hidden="1"/>
    </xf>
    <xf numFmtId="0" fontId="43" fillId="5" borderId="1" xfId="0" applyFont="1" applyFill="1" applyBorder="1" applyAlignment="1" applyProtection="1">
      <alignment horizontal="center"/>
      <protection hidden="1"/>
    </xf>
    <xf numFmtId="0" fontId="43" fillId="2" borderId="1" xfId="0" applyFont="1" applyFill="1" applyBorder="1" applyProtection="1">
      <protection hidden="1"/>
    </xf>
    <xf numFmtId="4" fontId="45" fillId="2" borderId="1" xfId="0" applyNumberFormat="1" applyFont="1" applyFill="1" applyBorder="1" applyAlignment="1" applyProtection="1">
      <alignment horizontal="center"/>
      <protection hidden="1"/>
    </xf>
    <xf numFmtId="0" fontId="32" fillId="23" borderId="0" xfId="15" applyFont="1" applyFill="1" applyAlignment="1">
      <alignment vertical="top" wrapText="1"/>
    </xf>
    <xf numFmtId="0" fontId="56" fillId="0" borderId="0" xfId="9" applyFont="1"/>
    <xf numFmtId="0" fontId="48" fillId="2" borderId="0" xfId="9" applyFont="1" applyFill="1"/>
    <xf numFmtId="0" fontId="56" fillId="2" borderId="0" xfId="9" applyFont="1" applyFill="1"/>
    <xf numFmtId="0" fontId="49" fillId="2" borderId="0" xfId="9" applyFont="1" applyFill="1"/>
    <xf numFmtId="0" fontId="69" fillId="23" borderId="0" xfId="15" applyFont="1" applyFill="1" applyAlignment="1">
      <alignment vertical="top" wrapText="1"/>
    </xf>
    <xf numFmtId="0" fontId="70" fillId="23" borderId="0" xfId="15" applyFont="1" applyFill="1" applyAlignment="1">
      <alignment vertical="top" wrapText="1"/>
    </xf>
    <xf numFmtId="2" fontId="44" fillId="2" borderId="0" xfId="0" applyNumberFormat="1" applyFont="1" applyFill="1" applyAlignment="1" applyProtection="1">
      <alignment horizontal="center"/>
      <protection hidden="1"/>
    </xf>
    <xf numFmtId="0" fontId="49" fillId="2" borderId="0" xfId="9" applyFont="1" applyFill="1" applyProtection="1">
      <protection locked="0"/>
    </xf>
    <xf numFmtId="3" fontId="49" fillId="32" borderId="1" xfId="0" applyNumberFormat="1" applyFont="1" applyFill="1" applyBorder="1" applyAlignment="1" applyProtection="1">
      <alignment horizontal="center"/>
      <protection locked="0"/>
    </xf>
    <xf numFmtId="0" fontId="35" fillId="2" borderId="0" xfId="0" applyFont="1" applyFill="1"/>
    <xf numFmtId="0" fontId="36" fillId="36" borderId="0" xfId="0" applyFont="1" applyFill="1" applyAlignment="1">
      <alignment horizontal="center" vertical="center"/>
    </xf>
    <xf numFmtId="0" fontId="36" fillId="33" borderId="0" xfId="0" applyFont="1" applyFill="1" applyAlignment="1">
      <alignment horizontal="center" vertical="center"/>
    </xf>
    <xf numFmtId="0" fontId="37" fillId="2" borderId="0" xfId="0" applyFont="1" applyFill="1"/>
    <xf numFmtId="0" fontId="36" fillId="34" borderId="0" xfId="0" applyFont="1" applyFill="1" applyAlignment="1">
      <alignment horizontal="center" vertical="center"/>
    </xf>
    <xf numFmtId="0" fontId="36" fillId="35" borderId="0" xfId="0" applyFont="1" applyFill="1" applyAlignment="1">
      <alignment horizontal="center" vertical="center"/>
    </xf>
    <xf numFmtId="0" fontId="72" fillId="23" borderId="0" xfId="0" applyFont="1" applyFill="1" applyAlignment="1">
      <alignment horizontal="right" vertical="top" wrapText="1"/>
    </xf>
    <xf numFmtId="0" fontId="72" fillId="23" borderId="0" xfId="0" applyFont="1" applyFill="1" applyAlignment="1">
      <alignment horizontal="left" vertical="top"/>
    </xf>
    <xf numFmtId="0" fontId="73" fillId="23" borderId="0" xfId="0" applyFont="1" applyFill="1" applyAlignment="1">
      <alignment horizontal="left" vertical="top"/>
    </xf>
    <xf numFmtId="0" fontId="73" fillId="23" borderId="0" xfId="0" applyFont="1" applyFill="1" applyAlignment="1">
      <alignment horizontal="left"/>
    </xf>
    <xf numFmtId="0" fontId="38" fillId="15" borderId="1" xfId="0" applyFont="1" applyFill="1" applyBorder="1" applyAlignment="1">
      <alignment horizontal="left" wrapText="1"/>
    </xf>
    <xf numFmtId="0" fontId="42" fillId="3" borderId="1" xfId="0" applyFont="1" applyFill="1" applyBorder="1" applyAlignment="1">
      <alignment horizontal="center"/>
    </xf>
    <xf numFmtId="0" fontId="22" fillId="2" borderId="0" xfId="0" applyFont="1" applyFill="1"/>
    <xf numFmtId="0" fontId="42" fillId="6" borderId="1" xfId="0" applyFont="1" applyFill="1" applyBorder="1" applyAlignment="1">
      <alignment horizontal="center"/>
    </xf>
    <xf numFmtId="0" fontId="43" fillId="5" borderId="1" xfId="0" applyFont="1" applyFill="1" applyBorder="1" applyAlignment="1">
      <alignment horizontal="center"/>
    </xf>
    <xf numFmtId="3" fontId="35" fillId="2" borderId="0" xfId="0" applyNumberFormat="1" applyFont="1" applyFill="1" applyAlignment="1">
      <alignment horizontal="center"/>
    </xf>
    <xf numFmtId="0" fontId="43" fillId="2" borderId="0" xfId="0" applyFont="1" applyFill="1"/>
    <xf numFmtId="3" fontId="41" fillId="19" borderId="8" xfId="10" applyNumberFormat="1" applyFont="1" applyAlignment="1" applyProtection="1">
      <alignment horizontal="center"/>
      <protection locked="0" hidden="1"/>
    </xf>
    <xf numFmtId="9" fontId="41" fillId="19" borderId="8" xfId="10" applyNumberFormat="1" applyFont="1" applyAlignment="1" applyProtection="1">
      <alignment horizontal="center"/>
      <protection locked="0" hidden="1"/>
    </xf>
    <xf numFmtId="10" fontId="41" fillId="19" borderId="8" xfId="10" applyNumberFormat="1" applyFont="1" applyAlignment="1" applyProtection="1">
      <alignment horizontal="center"/>
      <protection locked="0" hidden="1"/>
    </xf>
    <xf numFmtId="10" fontId="41" fillId="19" borderId="8" xfId="10" applyNumberFormat="1" applyFont="1" applyProtection="1">
      <protection locked="0" hidden="1"/>
    </xf>
    <xf numFmtId="0" fontId="38" fillId="15" borderId="0" xfId="0" applyFont="1" applyFill="1" applyAlignment="1">
      <alignment horizontal="left" wrapText="1"/>
    </xf>
    <xf numFmtId="0" fontId="38" fillId="15" borderId="4" xfId="0" applyFont="1" applyFill="1" applyBorder="1" applyAlignment="1">
      <alignment horizontal="left" wrapText="1"/>
    </xf>
    <xf numFmtId="3" fontId="45" fillId="2" borderId="1" xfId="0" applyNumberFormat="1" applyFont="1" applyFill="1" applyBorder="1" applyAlignment="1">
      <alignment horizontal="center"/>
    </xf>
    <xf numFmtId="0" fontId="46" fillId="2" borderId="0" xfId="0" applyFont="1" applyFill="1"/>
    <xf numFmtId="0" fontId="43" fillId="7" borderId="1" xfId="0" applyFont="1" applyFill="1" applyBorder="1" applyAlignment="1">
      <alignment horizontal="center"/>
    </xf>
    <xf numFmtId="0" fontId="43" fillId="2" borderId="1" xfId="0" applyFont="1" applyFill="1" applyBorder="1"/>
    <xf numFmtId="0" fontId="47" fillId="2" borderId="1" xfId="0" applyFont="1" applyFill="1" applyBorder="1" applyAlignment="1">
      <alignment horizontal="right"/>
    </xf>
    <xf numFmtId="0" fontId="43" fillId="7" borderId="1" xfId="0" applyFont="1" applyFill="1" applyBorder="1" applyAlignment="1">
      <alignment horizontal="center" vertical="center"/>
    </xf>
    <xf numFmtId="0" fontId="46" fillId="2" borderId="0" xfId="0" applyFont="1" applyFill="1" applyAlignment="1">
      <alignment horizontal="center"/>
    </xf>
    <xf numFmtId="0" fontId="43" fillId="2" borderId="1" xfId="0" applyFont="1" applyFill="1" applyBorder="1" applyAlignment="1">
      <alignment horizontal="center"/>
    </xf>
    <xf numFmtId="0" fontId="43" fillId="2" borderId="1" xfId="0" applyFont="1" applyFill="1" applyBorder="1" applyAlignment="1">
      <alignment horizontal="center" vertical="center"/>
    </xf>
    <xf numFmtId="0" fontId="43" fillId="2" borderId="0" xfId="0" applyFont="1" applyFill="1" applyAlignment="1">
      <alignment horizontal="center"/>
    </xf>
    <xf numFmtId="0" fontId="38" fillId="15" borderId="2" xfId="0" applyFont="1" applyFill="1" applyBorder="1" applyAlignment="1">
      <alignment horizontal="left" wrapText="1"/>
    </xf>
    <xf numFmtId="0" fontId="38" fillId="2" borderId="0" xfId="0" applyFont="1" applyFill="1" applyAlignment="1">
      <alignment horizontal="left" wrapText="1"/>
    </xf>
    <xf numFmtId="3" fontId="44" fillId="2" borderId="1" xfId="0" applyNumberFormat="1" applyFont="1" applyFill="1" applyBorder="1" applyAlignment="1">
      <alignment horizontal="center"/>
    </xf>
    <xf numFmtId="9" fontId="44" fillId="2" borderId="1" xfId="0" applyNumberFormat="1" applyFont="1" applyFill="1" applyBorder="1" applyAlignment="1">
      <alignment horizontal="center"/>
    </xf>
    <xf numFmtId="2" fontId="44" fillId="2" borderId="1" xfId="0" applyNumberFormat="1" applyFont="1" applyFill="1" applyBorder="1" applyAlignment="1">
      <alignment horizontal="center"/>
    </xf>
    <xf numFmtId="2" fontId="44" fillId="2" borderId="0" xfId="0" applyNumberFormat="1" applyFont="1" applyFill="1" applyAlignment="1">
      <alignment horizontal="center"/>
    </xf>
    <xf numFmtId="0" fontId="43" fillId="2" borderId="0" xfId="0" applyFont="1" applyFill="1" applyAlignment="1">
      <alignment vertical="center"/>
    </xf>
    <xf numFmtId="165" fontId="43" fillId="6" borderId="1" xfId="0" applyNumberFormat="1" applyFont="1" applyFill="1" applyBorder="1" applyAlignment="1">
      <alignment horizontal="center"/>
    </xf>
    <xf numFmtId="0" fontId="42" fillId="6" borderId="0" xfId="0" applyFont="1" applyFill="1" applyAlignment="1">
      <alignment horizontal="center"/>
    </xf>
    <xf numFmtId="165" fontId="43" fillId="6" borderId="0" xfId="0" applyNumberFormat="1" applyFont="1" applyFill="1" applyAlignment="1">
      <alignment horizontal="center"/>
    </xf>
    <xf numFmtId="0" fontId="42" fillId="2" borderId="0" xfId="0" applyFont="1" applyFill="1" applyAlignment="1">
      <alignment horizontal="center"/>
    </xf>
    <xf numFmtId="165" fontId="43" fillId="2" borderId="0" xfId="0" applyNumberFormat="1" applyFont="1" applyFill="1" applyAlignment="1">
      <alignment horizontal="center"/>
    </xf>
    <xf numFmtId="10" fontId="48" fillId="2" borderId="1" xfId="0" applyNumberFormat="1" applyFont="1" applyFill="1" applyBorder="1" applyAlignment="1">
      <alignment horizontal="center"/>
    </xf>
    <xf numFmtId="4" fontId="45" fillId="2" borderId="1" xfId="0" applyNumberFormat="1" applyFont="1" applyFill="1" applyBorder="1" applyAlignment="1">
      <alignment horizontal="center"/>
    </xf>
    <xf numFmtId="0" fontId="22" fillId="2" borderId="0" xfId="0" applyFont="1" applyFill="1" applyAlignment="1">
      <alignment horizontal="left" vertical="center"/>
    </xf>
    <xf numFmtId="0" fontId="22" fillId="2" borderId="0" xfId="0" applyFont="1" applyFill="1" applyAlignment="1">
      <alignment horizontal="center" vertical="center"/>
    </xf>
    <xf numFmtId="0" fontId="35" fillId="2" borderId="0" xfId="0" applyFont="1" applyFill="1" applyAlignment="1">
      <alignment horizontal="center" vertical="center"/>
    </xf>
    <xf numFmtId="0" fontId="66" fillId="23" borderId="0" xfId="0" applyFont="1" applyFill="1" applyAlignment="1">
      <alignment horizontal="right" vertical="top" wrapText="1"/>
    </xf>
    <xf numFmtId="0" fontId="66" fillId="23" borderId="0" xfId="0" applyFont="1" applyFill="1" applyAlignment="1">
      <alignment horizontal="left" vertical="top"/>
    </xf>
    <xf numFmtId="0" fontId="67" fillId="23" borderId="0" xfId="0" applyFont="1" applyFill="1" applyAlignment="1">
      <alignment horizontal="left" vertical="top"/>
    </xf>
    <xf numFmtId="0" fontId="67" fillId="23" borderId="0" xfId="0" applyFont="1" applyFill="1" applyAlignment="1">
      <alignment horizontal="left"/>
    </xf>
    <xf numFmtId="0" fontId="68" fillId="23" borderId="0" xfId="0" applyFont="1" applyFill="1" applyAlignment="1">
      <alignment horizontal="left"/>
    </xf>
    <xf numFmtId="0" fontId="68" fillId="23" borderId="0" xfId="0" applyFont="1" applyFill="1"/>
    <xf numFmtId="0" fontId="35" fillId="2" borderId="0" xfId="0" applyFont="1" applyFill="1" applyAlignment="1">
      <alignment horizontal="left" vertical="center"/>
    </xf>
    <xf numFmtId="0" fontId="43" fillId="10" borderId="1" xfId="0" applyFont="1" applyFill="1" applyBorder="1" applyAlignment="1">
      <alignment horizontal="center" vertical="center"/>
    </xf>
    <xf numFmtId="0" fontId="43" fillId="9" borderId="1" xfId="0" applyFont="1" applyFill="1" applyBorder="1" applyAlignment="1">
      <alignment horizontal="center" vertical="center" wrapText="1"/>
    </xf>
    <xf numFmtId="0" fontId="43" fillId="0" borderId="1" xfId="0" applyFont="1" applyBorder="1" applyAlignment="1">
      <alignment horizontal="left" vertical="center" wrapText="1"/>
    </xf>
    <xf numFmtId="0" fontId="43" fillId="0" borderId="1" xfId="0" applyFont="1" applyBorder="1" applyAlignment="1">
      <alignment horizontal="center" vertical="center" wrapText="1"/>
    </xf>
    <xf numFmtId="2" fontId="46" fillId="2" borderId="0" xfId="0" applyNumberFormat="1" applyFont="1" applyFill="1" applyAlignment="1">
      <alignment horizontal="center" vertical="center"/>
    </xf>
    <xf numFmtId="0" fontId="39" fillId="0" borderId="0" xfId="0" applyFont="1"/>
    <xf numFmtId="0" fontId="52" fillId="0" borderId="1" xfId="0" applyFont="1" applyBorder="1" applyAlignment="1">
      <alignment horizontal="center" vertical="center"/>
    </xf>
    <xf numFmtId="0" fontId="52" fillId="12" borderId="1" xfId="0" applyFont="1" applyFill="1" applyBorder="1" applyAlignment="1">
      <alignment horizontal="center" vertical="center"/>
    </xf>
    <xf numFmtId="0" fontId="52" fillId="13" borderId="1" xfId="0" applyFont="1" applyFill="1" applyBorder="1" applyAlignment="1">
      <alignment vertical="center"/>
    </xf>
    <xf numFmtId="0" fontId="53" fillId="13" borderId="1" xfId="0" applyFont="1" applyFill="1" applyBorder="1" applyAlignment="1">
      <alignment horizontal="center" vertical="center"/>
    </xf>
    <xf numFmtId="0" fontId="53" fillId="14" borderId="1" xfId="0" applyFont="1" applyFill="1" applyBorder="1" applyAlignment="1">
      <alignment horizontal="center" vertical="center"/>
    </xf>
    <xf numFmtId="169" fontId="53" fillId="13" borderId="1" xfId="0" applyNumberFormat="1" applyFont="1" applyFill="1" applyBorder="1" applyAlignment="1">
      <alignment horizontal="center" vertical="center"/>
    </xf>
    <xf numFmtId="169" fontId="53" fillId="14" borderId="1" xfId="0" applyNumberFormat="1" applyFont="1" applyFill="1" applyBorder="1" applyAlignment="1">
      <alignment horizontal="center" vertical="center"/>
    </xf>
    <xf numFmtId="169" fontId="52" fillId="12" borderId="1" xfId="0" applyNumberFormat="1" applyFont="1" applyFill="1" applyBorder="1" applyAlignment="1">
      <alignment horizontal="center" vertical="center"/>
    </xf>
    <xf numFmtId="169" fontId="43" fillId="7" borderId="1" xfId="0" applyNumberFormat="1" applyFont="1" applyFill="1" applyBorder="1" applyAlignment="1">
      <alignment horizontal="center"/>
    </xf>
    <xf numFmtId="0" fontId="35" fillId="0" borderId="0" xfId="0" applyFont="1"/>
    <xf numFmtId="0" fontId="36" fillId="26" borderId="26" xfId="0" applyFont="1" applyFill="1" applyBorder="1" applyAlignment="1">
      <alignment horizontal="center" vertical="center"/>
    </xf>
    <xf numFmtId="0" fontId="36" fillId="27" borderId="26" xfId="0" applyFont="1" applyFill="1" applyBorder="1" applyAlignment="1">
      <alignment horizontal="center" vertical="center"/>
    </xf>
    <xf numFmtId="0" fontId="36" fillId="24" borderId="26" xfId="0" applyFont="1" applyFill="1" applyBorder="1" applyAlignment="1">
      <alignment horizontal="center" vertical="center"/>
    </xf>
    <xf numFmtId="0" fontId="36" fillId="25" borderId="26" xfId="0" applyFont="1" applyFill="1" applyBorder="1" applyAlignment="1">
      <alignment horizontal="center" vertical="center"/>
    </xf>
    <xf numFmtId="0" fontId="43" fillId="0" borderId="1" xfId="0" applyFont="1" applyBorder="1" applyAlignment="1">
      <alignment horizontal="center"/>
    </xf>
    <xf numFmtId="0" fontId="43" fillId="0" borderId="1" xfId="0" applyFont="1" applyBorder="1"/>
    <xf numFmtId="0" fontId="68" fillId="0" borderId="1" xfId="0" applyFont="1" applyBorder="1" applyAlignment="1">
      <alignment horizontal="right"/>
    </xf>
    <xf numFmtId="2" fontId="18" fillId="20" borderId="1" xfId="13" applyNumberFormat="1" applyBorder="1" applyAlignment="1" applyProtection="1"/>
    <xf numFmtId="3" fontId="18" fillId="20" borderId="1" xfId="13" applyNumberFormat="1" applyBorder="1" applyAlignment="1" applyProtection="1"/>
    <xf numFmtId="3" fontId="75" fillId="21" borderId="1" xfId="14" applyNumberFormat="1" applyFont="1" applyBorder="1" applyAlignment="1" applyProtection="1"/>
    <xf numFmtId="9" fontId="75" fillId="21" borderId="1" xfId="14" applyNumberFormat="1" applyFont="1" applyBorder="1" applyAlignment="1" applyProtection="1"/>
    <xf numFmtId="9" fontId="75" fillId="20" borderId="1" xfId="13" applyNumberFormat="1" applyFont="1" applyBorder="1" applyAlignment="1" applyProtection="1"/>
    <xf numFmtId="2" fontId="75" fillId="21" borderId="1" xfId="14" applyNumberFormat="1" applyFont="1" applyBorder="1" applyAlignment="1" applyProtection="1"/>
    <xf numFmtId="3" fontId="75" fillId="20" borderId="1" xfId="13" applyNumberFormat="1" applyFont="1" applyBorder="1" applyAlignment="1" applyProtection="1"/>
    <xf numFmtId="10" fontId="75" fillId="21" borderId="1" xfId="14" applyNumberFormat="1" applyFont="1" applyBorder="1" applyAlignment="1" applyProtection="1"/>
    <xf numFmtId="2" fontId="75" fillId="20" borderId="1" xfId="13" applyNumberFormat="1" applyFont="1" applyBorder="1" applyAlignment="1" applyProtection="1"/>
    <xf numFmtId="0" fontId="22" fillId="23" borderId="0" xfId="15" applyFont="1" applyFill="1" applyAlignment="1">
      <alignment horizontal="left" vertical="top" wrapText="1"/>
    </xf>
    <xf numFmtId="0" fontId="48" fillId="23" borderId="0" xfId="15" applyFont="1" applyFill="1" applyAlignment="1">
      <alignment horizontal="left" vertical="top" wrapText="1"/>
    </xf>
    <xf numFmtId="0" fontId="48" fillId="23" borderId="25" xfId="15" applyFont="1" applyFill="1" applyBorder="1" applyAlignment="1">
      <alignment horizontal="left" vertical="top" wrapText="1"/>
    </xf>
    <xf numFmtId="0" fontId="32" fillId="23" borderId="0" xfId="15" applyFont="1" applyFill="1" applyAlignment="1">
      <alignment horizontal="left" vertical="top" wrapText="1"/>
    </xf>
    <xf numFmtId="0" fontId="36" fillId="25" borderId="13" xfId="0" applyFont="1" applyFill="1" applyBorder="1" applyAlignment="1">
      <alignment horizontal="center" vertical="center"/>
    </xf>
    <xf numFmtId="0" fontId="40" fillId="2" borderId="0" xfId="0" applyFont="1" applyFill="1" applyAlignment="1">
      <alignment horizontal="center"/>
    </xf>
    <xf numFmtId="0" fontId="43" fillId="7" borderId="15" xfId="0" applyFont="1" applyFill="1" applyBorder="1" applyAlignment="1">
      <alignment horizontal="center" vertical="center"/>
    </xf>
    <xf numFmtId="0" fontId="43" fillId="7" borderId="2" xfId="0" applyFont="1" applyFill="1" applyBorder="1" applyAlignment="1">
      <alignment horizontal="center" vertical="center"/>
    </xf>
    <xf numFmtId="3" fontId="40" fillId="2" borderId="0" xfId="0" applyNumberFormat="1" applyFont="1" applyFill="1" applyAlignment="1">
      <alignment horizontal="center"/>
    </xf>
    <xf numFmtId="3" fontId="74" fillId="2" borderId="0" xfId="0" applyNumberFormat="1" applyFont="1" applyFill="1" applyAlignment="1">
      <alignment horizontal="center"/>
    </xf>
    <xf numFmtId="0" fontId="10" fillId="7" borderId="1" xfId="0" applyFont="1" applyFill="1" applyBorder="1" applyAlignment="1">
      <alignment horizontal="center" vertical="center"/>
    </xf>
    <xf numFmtId="0" fontId="55" fillId="2" borderId="0" xfId="0" applyFont="1" applyFill="1" applyAlignment="1">
      <alignment horizontal="center" vertical="center"/>
    </xf>
    <xf numFmtId="0" fontId="52" fillId="12" borderId="15" xfId="0" applyFont="1" applyFill="1" applyBorder="1" applyAlignment="1">
      <alignment horizontal="center" vertical="center"/>
    </xf>
    <xf numFmtId="0" fontId="52" fillId="12" borderId="2" xfId="0" applyFont="1" applyFill="1" applyBorder="1" applyAlignment="1">
      <alignment horizontal="center" vertical="center"/>
    </xf>
    <xf numFmtId="0" fontId="43" fillId="0" borderId="1" xfId="0" applyFont="1" applyBorder="1" applyAlignment="1">
      <alignment horizontal="center"/>
    </xf>
    <xf numFmtId="0" fontId="33" fillId="0" borderId="0" xfId="15" applyFont="1" applyAlignment="1"/>
    <xf numFmtId="0" fontId="37" fillId="0" borderId="14" xfId="0" applyFont="1" applyBorder="1" applyAlignment="1"/>
    <xf numFmtId="0" fontId="43" fillId="23" borderId="0" xfId="0" applyFont="1" applyFill="1"/>
    <xf numFmtId="0" fontId="43" fillId="23" borderId="0" xfId="0" applyFont="1" applyFill="1" applyAlignment="1">
      <alignment horizontal="left"/>
    </xf>
    <xf numFmtId="3" fontId="22" fillId="6" borderId="1" xfId="0" applyNumberFormat="1" applyFont="1" applyFill="1" applyBorder="1" applyAlignment="1">
      <alignment horizontal="center"/>
    </xf>
    <xf numFmtId="0" fontId="22" fillId="4" borderId="1" xfId="0" applyFont="1" applyFill="1" applyBorder="1" applyAlignment="1">
      <alignment horizontal="center"/>
    </xf>
    <xf numFmtId="165" fontId="22" fillId="4" borderId="1" xfId="0" applyNumberFormat="1" applyFont="1" applyFill="1" applyBorder="1" applyAlignment="1">
      <alignment horizontal="center"/>
    </xf>
    <xf numFmtId="165" fontId="22" fillId="4" borderId="1" xfId="0" applyNumberFormat="1" applyFont="1" applyFill="1" applyBorder="1" applyAlignment="1" applyProtection="1">
      <alignment horizontal="center"/>
      <protection hidden="1"/>
    </xf>
    <xf numFmtId="0" fontId="22" fillId="2" borderId="0" xfId="0" applyFont="1" applyFill="1" applyProtection="1">
      <protection hidden="1"/>
    </xf>
    <xf numFmtId="3" fontId="22" fillId="2" borderId="1" xfId="0" applyNumberFormat="1" applyFont="1" applyFill="1" applyBorder="1" applyAlignment="1" applyProtection="1">
      <alignment horizontal="center"/>
      <protection hidden="1"/>
    </xf>
    <xf numFmtId="3" fontId="22" fillId="0" borderId="1" xfId="0" applyNumberFormat="1" applyFont="1" applyBorder="1" applyAlignment="1" applyProtection="1">
      <alignment horizontal="center"/>
      <protection hidden="1"/>
    </xf>
    <xf numFmtId="3" fontId="22" fillId="6" borderId="1" xfId="0" applyNumberFormat="1" applyFont="1" applyFill="1" applyBorder="1" applyAlignment="1" applyProtection="1">
      <alignment horizontal="center"/>
      <protection locked="0"/>
    </xf>
    <xf numFmtId="4" fontId="22" fillId="2" borderId="1" xfId="0" applyNumberFormat="1" applyFont="1" applyFill="1" applyBorder="1" applyAlignment="1" applyProtection="1">
      <alignment horizontal="center"/>
      <protection hidden="1"/>
    </xf>
    <xf numFmtId="3" fontId="22" fillId="2" borderId="1" xfId="0" applyNumberFormat="1" applyFont="1" applyFill="1" applyBorder="1" applyAlignment="1">
      <alignment horizontal="center"/>
    </xf>
    <xf numFmtId="9" fontId="22" fillId="2" borderId="1" xfId="0" applyNumberFormat="1" applyFont="1" applyFill="1" applyBorder="1" applyAlignment="1">
      <alignment horizontal="center"/>
    </xf>
    <xf numFmtId="3" fontId="22" fillId="2" borderId="0" xfId="0" applyNumberFormat="1" applyFont="1" applyFill="1"/>
    <xf numFmtId="9" fontId="22" fillId="2" borderId="1" xfId="0" applyNumberFormat="1" applyFont="1" applyFill="1" applyBorder="1" applyAlignment="1" applyProtection="1">
      <alignment horizontal="center"/>
      <protection hidden="1"/>
    </xf>
    <xf numFmtId="0" fontId="22" fillId="2" borderId="0" xfId="0" applyFont="1" applyFill="1" applyAlignment="1">
      <alignment vertical="center"/>
    </xf>
    <xf numFmtId="2" fontId="22" fillId="2" borderId="1" xfId="0" applyNumberFormat="1" applyFont="1" applyFill="1" applyBorder="1" applyAlignment="1" applyProtection="1">
      <alignment horizontal="center"/>
      <protection hidden="1"/>
    </xf>
    <xf numFmtId="0" fontId="22" fillId="2" borderId="1" xfId="0" applyFont="1" applyFill="1" applyBorder="1" applyProtection="1">
      <protection hidden="1"/>
    </xf>
    <xf numFmtId="10" fontId="22" fillId="2" borderId="1" xfId="0" applyNumberFormat="1" applyFont="1" applyFill="1" applyBorder="1" applyAlignment="1" applyProtection="1">
      <alignment horizontal="center"/>
      <protection hidden="1"/>
    </xf>
    <xf numFmtId="0" fontId="22" fillId="2" borderId="1" xfId="0" applyFont="1" applyFill="1" applyBorder="1"/>
    <xf numFmtId="10" fontId="22" fillId="2" borderId="1" xfId="0" applyNumberFormat="1" applyFont="1" applyFill="1" applyBorder="1" applyProtection="1">
      <protection hidden="1"/>
    </xf>
    <xf numFmtId="3" fontId="22" fillId="2" borderId="0" xfId="0" applyNumberFormat="1" applyFont="1" applyFill="1" applyAlignment="1" applyProtection="1">
      <alignment horizontal="center"/>
      <protection hidden="1"/>
    </xf>
    <xf numFmtId="3" fontId="22" fillId="2" borderId="0" xfId="0" applyNumberFormat="1" applyFont="1" applyFill="1" applyAlignment="1">
      <alignment horizontal="center"/>
    </xf>
    <xf numFmtId="169" fontId="22" fillId="2" borderId="0" xfId="0" applyNumberFormat="1" applyFont="1" applyFill="1" applyAlignment="1" applyProtection="1">
      <alignment horizontal="center"/>
      <protection hidden="1"/>
    </xf>
    <xf numFmtId="0" fontId="22" fillId="2" borderId="0" xfId="0" applyFont="1" applyFill="1" applyAlignment="1">
      <alignment horizontal="center"/>
    </xf>
    <xf numFmtId="171" fontId="22" fillId="2" borderId="0" xfId="0" applyNumberFormat="1" applyFont="1" applyFill="1" applyAlignment="1" applyProtection="1">
      <alignment horizontal="center"/>
      <protection hidden="1"/>
    </xf>
    <xf numFmtId="2" fontId="22" fillId="2" borderId="0" xfId="0" applyNumberFormat="1" applyFont="1" applyFill="1" applyAlignment="1" applyProtection="1">
      <alignment horizontal="center"/>
      <protection hidden="1"/>
    </xf>
    <xf numFmtId="3" fontId="22" fillId="2" borderId="1" xfId="0" applyNumberFormat="1" applyFont="1" applyFill="1" applyBorder="1" applyAlignment="1" applyProtection="1">
      <alignment horizontal="center"/>
      <protection locked="0" hidden="1"/>
    </xf>
    <xf numFmtId="165" fontId="22" fillId="17" borderId="1" xfId="0" applyNumberFormat="1" applyFont="1" applyFill="1" applyBorder="1" applyAlignment="1" applyProtection="1">
      <alignment horizontal="center"/>
      <protection hidden="1"/>
    </xf>
    <xf numFmtId="0" fontId="22" fillId="2" borderId="1" xfId="0" applyFont="1" applyFill="1" applyBorder="1" applyAlignment="1" applyProtection="1">
      <alignment horizontal="center"/>
      <protection hidden="1"/>
    </xf>
    <xf numFmtId="3" fontId="22" fillId="6" borderId="5" xfId="0" applyNumberFormat="1" applyFont="1" applyFill="1" applyBorder="1" applyAlignment="1">
      <alignment horizontal="center"/>
    </xf>
    <xf numFmtId="3" fontId="22" fillId="15" borderId="1" xfId="0" applyNumberFormat="1" applyFont="1" applyFill="1" applyBorder="1" applyAlignment="1">
      <alignment horizontal="center"/>
    </xf>
    <xf numFmtId="3" fontId="22" fillId="6" borderId="1" xfId="0" quotePrefix="1" applyNumberFormat="1" applyFont="1" applyFill="1" applyBorder="1" applyAlignment="1">
      <alignment horizontal="center"/>
    </xf>
    <xf numFmtId="167" fontId="22" fillId="2" borderId="1" xfId="0" applyNumberFormat="1" applyFont="1" applyFill="1" applyBorder="1" applyAlignment="1" applyProtection="1">
      <alignment horizontal="center"/>
      <protection hidden="1"/>
    </xf>
    <xf numFmtId="166" fontId="22" fillId="2" borderId="1" xfId="0" applyNumberFormat="1" applyFont="1" applyFill="1" applyBorder="1" applyAlignment="1">
      <alignment horizontal="center"/>
    </xf>
    <xf numFmtId="0" fontId="22" fillId="2" borderId="1" xfId="0" applyFont="1" applyFill="1" applyBorder="1" applyAlignment="1">
      <alignment horizontal="center"/>
    </xf>
    <xf numFmtId="168" fontId="22" fillId="2" borderId="1" xfId="0" applyNumberFormat="1" applyFont="1" applyFill="1" applyBorder="1" applyAlignment="1" applyProtection="1">
      <alignment horizontal="center"/>
      <protection hidden="1"/>
    </xf>
    <xf numFmtId="3" fontId="22" fillId="2" borderId="0" xfId="0" applyNumberFormat="1" applyFont="1" applyFill="1" applyAlignment="1" applyProtection="1">
      <alignment horizontal="center" vertical="center"/>
      <protection hidden="1"/>
    </xf>
    <xf numFmtId="0" fontId="22" fillId="2" borderId="0" xfId="0" applyFont="1" applyFill="1" applyAlignment="1" applyProtection="1">
      <alignment vertical="center"/>
      <protection hidden="1"/>
    </xf>
    <xf numFmtId="10" fontId="22" fillId="2" borderId="0" xfId="0" applyNumberFormat="1" applyFont="1" applyFill="1"/>
    <xf numFmtId="9" fontId="22" fillId="2" borderId="0" xfId="0" applyNumberFormat="1" applyFont="1" applyFill="1" applyAlignment="1" applyProtection="1">
      <alignment horizontal="center"/>
      <protection hidden="1"/>
    </xf>
    <xf numFmtId="3" fontId="22" fillId="2" borderId="1" xfId="0" applyNumberFormat="1" applyFont="1" applyFill="1" applyBorder="1" applyAlignment="1" applyProtection="1">
      <alignment horizontal="center"/>
      <protection locked="0"/>
    </xf>
    <xf numFmtId="165" fontId="22" fillId="0" borderId="1" xfId="0" applyNumberFormat="1" applyFont="1" applyBorder="1" applyAlignment="1">
      <alignment horizontal="center"/>
    </xf>
    <xf numFmtId="3" fontId="22" fillId="0" borderId="1" xfId="0" applyNumberFormat="1" applyFont="1" applyBorder="1" applyAlignment="1">
      <alignment horizontal="center"/>
    </xf>
    <xf numFmtId="4" fontId="22" fillId="2" borderId="1" xfId="0" applyNumberFormat="1" applyFont="1" applyFill="1" applyBorder="1" applyAlignment="1">
      <alignment horizontal="center"/>
    </xf>
    <xf numFmtId="10" fontId="22" fillId="2" borderId="1" xfId="0" applyNumberFormat="1" applyFont="1" applyFill="1" applyBorder="1"/>
    <xf numFmtId="167" fontId="22" fillId="2" borderId="1" xfId="0" applyNumberFormat="1" applyFont="1" applyFill="1" applyBorder="1" applyAlignment="1">
      <alignment horizontal="center"/>
    </xf>
    <xf numFmtId="168" fontId="22" fillId="2" borderId="1" xfId="0" applyNumberFormat="1" applyFont="1" applyFill="1" applyBorder="1" applyAlignment="1">
      <alignment horizontal="center"/>
    </xf>
    <xf numFmtId="10" fontId="22" fillId="2" borderId="1" xfId="0" applyNumberFormat="1" applyFont="1" applyFill="1" applyBorder="1" applyAlignment="1">
      <alignment horizontal="center"/>
    </xf>
    <xf numFmtId="2" fontId="22" fillId="2" borderId="1" xfId="0" applyNumberFormat="1" applyFont="1" applyFill="1" applyBorder="1" applyAlignment="1">
      <alignment horizontal="center"/>
    </xf>
    <xf numFmtId="169" fontId="22" fillId="2" borderId="0" xfId="0" applyNumberFormat="1" applyFont="1" applyFill="1" applyAlignment="1">
      <alignment horizontal="center"/>
    </xf>
    <xf numFmtId="2" fontId="22" fillId="2" borderId="0" xfId="0" applyNumberFormat="1" applyFont="1" applyFill="1" applyAlignment="1">
      <alignment horizontal="center"/>
    </xf>
    <xf numFmtId="10" fontId="22" fillId="0" borderId="1" xfId="0" applyNumberFormat="1" applyFont="1" applyBorder="1" applyAlignment="1" applyProtection="1">
      <alignment horizontal="center"/>
      <protection hidden="1"/>
    </xf>
    <xf numFmtId="172" fontId="22" fillId="4" borderId="1" xfId="0" applyNumberFormat="1" applyFont="1" applyFill="1" applyBorder="1" applyAlignment="1" applyProtection="1">
      <alignment horizontal="center"/>
      <protection hidden="1"/>
    </xf>
    <xf numFmtId="9" fontId="22" fillId="2" borderId="0" xfId="0" applyNumberFormat="1" applyFont="1" applyFill="1" applyAlignment="1">
      <alignment horizontal="center"/>
    </xf>
    <xf numFmtId="172" fontId="22" fillId="4" borderId="1" xfId="0" applyNumberFormat="1" applyFont="1" applyFill="1" applyBorder="1" applyAlignment="1">
      <alignment horizontal="center"/>
    </xf>
    <xf numFmtId="10" fontId="22" fillId="0" borderId="1" xfId="0" applyNumberFormat="1" applyFont="1" applyBorder="1" applyAlignment="1">
      <alignment horizontal="center"/>
    </xf>
    <xf numFmtId="1" fontId="22" fillId="2" borderId="1" xfId="0" applyNumberFormat="1" applyFont="1" applyFill="1" applyBorder="1" applyAlignment="1">
      <alignment horizontal="center" vertical="center"/>
    </xf>
    <xf numFmtId="0" fontId="22" fillId="10" borderId="1" xfId="0" applyFont="1" applyFill="1" applyBorder="1" applyAlignment="1">
      <alignment horizontal="center" vertical="center"/>
    </xf>
    <xf numFmtId="0" fontId="22" fillId="0" borderId="1" xfId="0" applyFont="1" applyBorder="1" applyAlignment="1">
      <alignment horizontal="center" vertical="center" wrapText="1"/>
    </xf>
    <xf numFmtId="0" fontId="22" fillId="28" borderId="1" xfId="0" applyFont="1" applyFill="1" applyBorder="1" applyAlignment="1" applyProtection="1">
      <alignment horizontal="center" vertical="center" wrapText="1"/>
      <protection locked="0"/>
    </xf>
    <xf numFmtId="167" fontId="22" fillId="8" borderId="1" xfId="0" applyNumberFormat="1" applyFont="1" applyFill="1" applyBorder="1" applyAlignment="1">
      <alignment horizontal="center"/>
    </xf>
    <xf numFmtId="169" fontId="22" fillId="2" borderId="1" xfId="0" applyNumberFormat="1" applyFont="1" applyFill="1" applyBorder="1" applyAlignment="1">
      <alignment horizontal="center"/>
    </xf>
    <xf numFmtId="169" fontId="22" fillId="8" borderId="1" xfId="0" applyNumberFormat="1" applyFont="1" applyFill="1" applyBorder="1" applyAlignment="1">
      <alignment horizontal="center"/>
    </xf>
    <xf numFmtId="0" fontId="22" fillId="0" borderId="0" xfId="0" applyFont="1"/>
    <xf numFmtId="0" fontId="22" fillId="0" borderId="1" xfId="0" applyFont="1" applyBorder="1"/>
    <xf numFmtId="0" fontId="22" fillId="0" borderId="4" xfId="0" applyFont="1" applyBorder="1" applyAlignment="1">
      <alignment wrapText="1"/>
    </xf>
    <xf numFmtId="3" fontId="22" fillId="0" borderId="1" xfId="0" applyNumberFormat="1" applyFont="1" applyBorder="1"/>
    <xf numFmtId="1" fontId="22" fillId="0" borderId="1" xfId="0" applyNumberFormat="1" applyFont="1" applyBorder="1"/>
  </cellXfs>
  <cellStyles count="17">
    <cellStyle name="Bad" xfId="14" builtinId="27"/>
    <cellStyle name="Currency 2" xfId="8" xr:uid="{00000000-0005-0000-0000-000000000000}"/>
    <cellStyle name="Good" xfId="13" builtinId="26"/>
    <cellStyle name="Hyperlink" xfId="16" builtinId="8"/>
    <cellStyle name="Input" xfId="10" builtinId="20"/>
    <cellStyle name="Input 2" xfId="12" xr:uid="{F8035130-4AFA-47E0-8DF7-C15D98BAE5CF}"/>
    <cellStyle name="Normal" xfId="0" builtinId="0"/>
    <cellStyle name="Normal 2" xfId="3" xr:uid="{00000000-0005-0000-0000-000002000000}"/>
    <cellStyle name="Normal 2 2" xfId="11" xr:uid="{979B23A9-FA94-4CEB-BFD3-EFFA45898208}"/>
    <cellStyle name="Normal 3" xfId="5" xr:uid="{00000000-0005-0000-0000-000003000000}"/>
    <cellStyle name="Normal 4" xfId="6" xr:uid="{00000000-0005-0000-0000-000004000000}"/>
    <cellStyle name="Normal 5" xfId="15" xr:uid="{FB524077-5D8C-460D-ACDD-116812812C71}"/>
    <cellStyle name="Percent 2" xfId="7" xr:uid="{00000000-0005-0000-0000-000005000000}"/>
    <cellStyle name="Βασικό_kodikoi_elstat_anko" xfId="4" xr:uid="{00000000-0005-0000-0000-000006000000}"/>
    <cellStyle name="Κανονικό 2" xfId="1" xr:uid="{00000000-0005-0000-0000-000007000000}"/>
    <cellStyle name="Κανονικό 3" xfId="2" xr:uid="{00000000-0005-0000-0000-000008000000}"/>
    <cellStyle name="Κανονικό 4" xfId="9" xr:uid="{85789FF9-C53D-4B51-B29D-C3BFD3D9A402}"/>
  </cellStyles>
  <dxfs count="12">
    <dxf>
      <fill>
        <patternFill>
          <bgColor theme="9" tint="0.39994506668294322"/>
        </patternFill>
      </fill>
    </dxf>
    <dxf>
      <fill>
        <patternFill>
          <bgColor rgb="FFFF0000"/>
        </patternFill>
      </fill>
    </dxf>
    <dxf>
      <fill>
        <patternFill>
          <bgColor theme="9" tint="0.39994506668294322"/>
        </patternFill>
      </fill>
    </dxf>
    <dxf>
      <fill>
        <patternFill>
          <bgColor rgb="FFFF0000"/>
        </patternFill>
      </fill>
    </dxf>
    <dxf>
      <fill>
        <patternFill>
          <bgColor theme="9" tint="0.39994506668294322"/>
        </patternFill>
      </fill>
    </dxf>
    <dxf>
      <fill>
        <patternFill>
          <bgColor rgb="FFFF0000"/>
        </patternFill>
      </fill>
    </dxf>
    <dxf>
      <fill>
        <patternFill>
          <bgColor theme="9" tint="0.39994506668294322"/>
        </patternFill>
      </fill>
    </dxf>
    <dxf>
      <fill>
        <patternFill>
          <bgColor rgb="FFFF0000"/>
        </patternFill>
      </fill>
    </dxf>
    <dxf>
      <fill>
        <patternFill>
          <bgColor theme="9" tint="0.39994506668294322"/>
        </patternFill>
      </fill>
    </dxf>
    <dxf>
      <fill>
        <patternFill>
          <bgColor rgb="FFFF0000"/>
        </patternFill>
      </fill>
    </dxf>
    <dxf>
      <fill>
        <patternFill>
          <bgColor theme="9" tint="0.39994506668294322"/>
        </patternFill>
      </fill>
    </dxf>
    <dxf>
      <fill>
        <patternFill>
          <bgColor rgb="FFFFFF01"/>
        </patternFill>
      </fill>
    </dxf>
  </dxfs>
  <tableStyles count="0" defaultTableStyle="TableStyleMedium2" defaultPivotStyle="PivotStyleLight16"/>
  <colors>
    <mruColors>
      <color rgb="FFFFFF01"/>
      <color rgb="FFF60AE5"/>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Regional</a:t>
            </a:r>
          </a:p>
          <a:p>
            <a:pPr>
              <a:defRPr/>
            </a:pPr>
            <a:r>
              <a:rPr lang="en-GB" baseline="0"/>
              <a:t> household fuel price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clustered"/>
        <c:varyColors val="0"/>
        <c:ser>
          <c:idx val="0"/>
          <c:order val="0"/>
          <c:spPr>
            <a:solidFill>
              <a:schemeClr val="accent1"/>
            </a:solidFill>
            <a:ln>
              <a:noFill/>
            </a:ln>
            <a:effectLst/>
          </c:spPr>
          <c:invertIfNegative val="0"/>
          <c:cat>
            <c:strRef>
              <c:f>'Sc0-CBA'!$G$44:$G$47</c:f>
              <c:strCache>
                <c:ptCount val="4"/>
                <c:pt idx="0">
                  <c:v>Electricity price</c:v>
                </c:pt>
                <c:pt idx="1">
                  <c:v>Natural gas price</c:v>
                </c:pt>
                <c:pt idx="2">
                  <c:v>Petroleum price</c:v>
                </c:pt>
                <c:pt idx="3">
                  <c:v>Biomass price</c:v>
                </c:pt>
              </c:strCache>
            </c:strRef>
          </c:cat>
          <c:val>
            <c:numRef>
              <c:f>'Sc0-CBA'!$H$44:$H$47</c:f>
              <c:numCache>
                <c:formatCode>General</c:formatCode>
                <c:ptCount val="4"/>
                <c:pt idx="0">
                  <c:v>0.24004999999999999</c:v>
                </c:pt>
                <c:pt idx="1">
                  <c:v>0.11394999999999998</c:v>
                </c:pt>
                <c:pt idx="2">
                  <c:v>0.11</c:v>
                </c:pt>
                <c:pt idx="3">
                  <c:v>1.7000000000000001E-2</c:v>
                </c:pt>
              </c:numCache>
            </c:numRef>
          </c:val>
          <c:extLst>
            <c:ext xmlns:c16="http://schemas.microsoft.com/office/drawing/2014/chart" uri="{C3380CC4-5D6E-409C-BE32-E72D297353CC}">
              <c16:uniqueId val="{00000000-C52E-49DC-86AB-38B73AD327BC}"/>
            </c:ext>
          </c:extLst>
        </c:ser>
        <c:dLbls>
          <c:showLegendKey val="0"/>
          <c:showVal val="0"/>
          <c:showCatName val="0"/>
          <c:showSerName val="0"/>
          <c:showPercent val="0"/>
          <c:showBubbleSize val="0"/>
        </c:dLbls>
        <c:gapWidth val="219"/>
        <c:overlap val="-27"/>
        <c:axId val="1287898704"/>
        <c:axId val="1287900624"/>
      </c:barChart>
      <c:catAx>
        <c:axId val="1287898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287900624"/>
        <c:crosses val="autoZero"/>
        <c:auto val="1"/>
        <c:lblAlgn val="ctr"/>
        <c:lblOffset val="100"/>
        <c:noMultiLvlLbl val="0"/>
      </c:catAx>
      <c:valAx>
        <c:axId val="128790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a:t>
                </a:r>
                <a:r>
                  <a:rPr lang="en-GB" baseline="0"/>
                  <a:t> EUR/kWh</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2878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Asturias</a:t>
            </a:r>
            <a:r>
              <a:rPr lang="en-GB" baseline="0"/>
              <a:t> household fuel use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604-488E-B049-F4EA60A8661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604-488E-B049-F4EA60A8661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604-488E-B049-F4EA60A8661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604-488E-B049-F4EA60A8661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604-488E-B049-F4EA60A86619}"/>
              </c:ext>
            </c:extLst>
          </c:dPt>
          <c:cat>
            <c:strRef>
              <c:f>'Sc3 Deep-CBA'!$H$43:$H$47</c:f>
              <c:strCache>
                <c:ptCount val="5"/>
                <c:pt idx="0">
                  <c:v>Natural gas</c:v>
                </c:pt>
                <c:pt idx="1">
                  <c:v>Petroleum derivatives</c:v>
                </c:pt>
                <c:pt idx="2">
                  <c:v>Electricity</c:v>
                </c:pt>
                <c:pt idx="3">
                  <c:v>Biomass</c:v>
                </c:pt>
                <c:pt idx="4">
                  <c:v>Other</c:v>
                </c:pt>
              </c:strCache>
            </c:strRef>
          </c:cat>
          <c:val>
            <c:numRef>
              <c:f>'Sc3 Deep-CBA'!$I$43:$I$47</c:f>
              <c:numCache>
                <c:formatCode>0.00%</c:formatCode>
                <c:ptCount val="5"/>
                <c:pt idx="0">
                  <c:v>0.48</c:v>
                </c:pt>
                <c:pt idx="1">
                  <c:v>0.2</c:v>
                </c:pt>
                <c:pt idx="2">
                  <c:v>0.19</c:v>
                </c:pt>
                <c:pt idx="3">
                  <c:v>0</c:v>
                </c:pt>
                <c:pt idx="4">
                  <c:v>0.12</c:v>
                </c:pt>
              </c:numCache>
            </c:numRef>
          </c:val>
          <c:extLst>
            <c:ext xmlns:c16="http://schemas.microsoft.com/office/drawing/2014/chart" uri="{C3380CC4-5D6E-409C-BE32-E72D297353CC}">
              <c16:uniqueId val="{00000000-BCB2-40D9-AE7D-54D0690D1822}"/>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NPV</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Conclusions!$C$7</c:f>
              <c:strCache>
                <c:ptCount val="1"/>
                <c:pt idx="0">
                  <c:v>CBA</c:v>
                </c:pt>
              </c:strCache>
            </c:strRef>
          </c:tx>
          <c:spPr>
            <a:solidFill>
              <a:schemeClr val="accent1"/>
            </a:solidFill>
            <a:ln>
              <a:noFill/>
            </a:ln>
            <a:effectLst/>
          </c:spPr>
          <c:invertIfNegative val="0"/>
          <c:cat>
            <c:strRef>
              <c:f>Conclusions!$A$8:$A$13</c:f>
              <c:strCache>
                <c:ptCount val="6"/>
                <c:pt idx="0">
                  <c:v>Sc0</c:v>
                </c:pt>
                <c:pt idx="1">
                  <c:v>Sc1 Deep</c:v>
                </c:pt>
                <c:pt idx="2">
                  <c:v>Sc1 Medium</c:v>
                </c:pt>
                <c:pt idx="3">
                  <c:v>Sc2 </c:v>
                </c:pt>
                <c:pt idx="4">
                  <c:v>Sc3 Deep</c:v>
                </c:pt>
                <c:pt idx="5">
                  <c:v>Sc3 Medium</c:v>
                </c:pt>
              </c:strCache>
            </c:strRef>
          </c:cat>
          <c:val>
            <c:numRef>
              <c:f>Conclusions!$C$8:$C$13</c:f>
              <c:numCache>
                <c:formatCode>#,##0</c:formatCode>
                <c:ptCount val="6"/>
                <c:pt idx="0">
                  <c:v>-168481595.48318762</c:v>
                </c:pt>
                <c:pt idx="1">
                  <c:v>-421051245.4889518</c:v>
                </c:pt>
                <c:pt idx="2" formatCode="0.00">
                  <c:v>-405173674.14212042</c:v>
                </c:pt>
                <c:pt idx="3">
                  <c:v>-365013846.77368557</c:v>
                </c:pt>
                <c:pt idx="4">
                  <c:v>-302326494.14670295</c:v>
                </c:pt>
                <c:pt idx="5">
                  <c:v>-258956124.04745609</c:v>
                </c:pt>
              </c:numCache>
            </c:numRef>
          </c:val>
          <c:extLst>
            <c:ext xmlns:c16="http://schemas.microsoft.com/office/drawing/2014/chart" uri="{C3380CC4-5D6E-409C-BE32-E72D297353CC}">
              <c16:uniqueId val="{00000000-7285-433D-B6D9-1ACF84DAF645}"/>
            </c:ext>
          </c:extLst>
        </c:ser>
        <c:ser>
          <c:idx val="1"/>
          <c:order val="1"/>
          <c:tx>
            <c:strRef>
              <c:f>Conclusions!$D$7</c:f>
              <c:strCache>
                <c:ptCount val="1"/>
                <c:pt idx="0">
                  <c:v>SCBA</c:v>
                </c:pt>
              </c:strCache>
            </c:strRef>
          </c:tx>
          <c:spPr>
            <a:solidFill>
              <a:schemeClr val="accent2"/>
            </a:solidFill>
            <a:ln>
              <a:noFill/>
            </a:ln>
            <a:effectLst/>
          </c:spPr>
          <c:invertIfNegative val="0"/>
          <c:cat>
            <c:strRef>
              <c:f>Conclusions!$A$8:$A$13</c:f>
              <c:strCache>
                <c:ptCount val="6"/>
                <c:pt idx="0">
                  <c:v>Sc0</c:v>
                </c:pt>
                <c:pt idx="1">
                  <c:v>Sc1 Deep</c:v>
                </c:pt>
                <c:pt idx="2">
                  <c:v>Sc1 Medium</c:v>
                </c:pt>
                <c:pt idx="3">
                  <c:v>Sc2 </c:v>
                </c:pt>
                <c:pt idx="4">
                  <c:v>Sc3 Deep</c:v>
                </c:pt>
                <c:pt idx="5">
                  <c:v>Sc3 Medium</c:v>
                </c:pt>
              </c:strCache>
            </c:strRef>
          </c:cat>
          <c:val>
            <c:numRef>
              <c:f>Conclusions!$D$8:$D$13</c:f>
              <c:numCache>
                <c:formatCode>#,##0</c:formatCode>
                <c:ptCount val="6"/>
                <c:pt idx="0">
                  <c:v>335427591.07475793</c:v>
                </c:pt>
                <c:pt idx="1">
                  <c:v>133059084.47625983</c:v>
                </c:pt>
                <c:pt idx="2">
                  <c:v>142004464.74478471</c:v>
                </c:pt>
                <c:pt idx="3" formatCode="0.00">
                  <c:v>-346848932.4553656</c:v>
                </c:pt>
                <c:pt idx="4">
                  <c:v>230263586.58494323</c:v>
                </c:pt>
                <c:pt idx="5">
                  <c:v>313058976.38507509</c:v>
                </c:pt>
              </c:numCache>
            </c:numRef>
          </c:val>
          <c:extLst>
            <c:ext xmlns:c16="http://schemas.microsoft.com/office/drawing/2014/chart" uri="{C3380CC4-5D6E-409C-BE32-E72D297353CC}">
              <c16:uniqueId val="{00000001-7285-433D-B6D9-1ACF84DAF645}"/>
            </c:ext>
          </c:extLst>
        </c:ser>
        <c:dLbls>
          <c:showLegendKey val="0"/>
          <c:showVal val="0"/>
          <c:showCatName val="0"/>
          <c:showSerName val="0"/>
          <c:showPercent val="0"/>
          <c:showBubbleSize val="0"/>
        </c:dLbls>
        <c:gapWidth val="219"/>
        <c:overlap val="-27"/>
        <c:axId val="1578218672"/>
        <c:axId val="1578221552"/>
      </c:barChart>
      <c:catAx>
        <c:axId val="1578218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78221552"/>
        <c:crosses val="autoZero"/>
        <c:auto val="1"/>
        <c:lblAlgn val="ctr"/>
        <c:lblOffset val="100"/>
        <c:noMultiLvlLbl val="0"/>
      </c:catAx>
      <c:valAx>
        <c:axId val="1578221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78218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2552575010952811E-2"/>
          <c:y val="0.14665738053048183"/>
          <c:w val="0.8817315107369712"/>
          <c:h val="0.64222574592548753"/>
        </c:manualLayout>
      </c:layout>
      <c:barChart>
        <c:barDir val="col"/>
        <c:grouping val="clustered"/>
        <c:varyColors val="0"/>
        <c:ser>
          <c:idx val="0"/>
          <c:order val="0"/>
          <c:tx>
            <c:strRef>
              <c:f>Conclusions!$G$7</c:f>
              <c:strCache>
                <c:ptCount val="1"/>
                <c:pt idx="0">
                  <c:v>CBA</c:v>
                </c:pt>
              </c:strCache>
            </c:strRef>
          </c:tx>
          <c:spPr>
            <a:solidFill>
              <a:schemeClr val="accent1"/>
            </a:solidFill>
            <a:ln>
              <a:noFill/>
            </a:ln>
            <a:effectLst/>
          </c:spPr>
          <c:invertIfNegative val="0"/>
          <c:cat>
            <c:strRef>
              <c:f>Conclusions!$A$8:$A$13</c:f>
              <c:strCache>
                <c:ptCount val="6"/>
                <c:pt idx="0">
                  <c:v>Sc0</c:v>
                </c:pt>
                <c:pt idx="1">
                  <c:v>Sc1 Deep</c:v>
                </c:pt>
                <c:pt idx="2">
                  <c:v>Sc1 Medium</c:v>
                </c:pt>
                <c:pt idx="3">
                  <c:v>Sc2 </c:v>
                </c:pt>
                <c:pt idx="4">
                  <c:v>Sc3 Deep</c:v>
                </c:pt>
                <c:pt idx="5">
                  <c:v>Sc3 Medium</c:v>
                </c:pt>
              </c:strCache>
            </c:strRef>
          </c:cat>
          <c:val>
            <c:numRef>
              <c:f>Conclusions!$G$8:$G$13</c:f>
              <c:numCache>
                <c:formatCode>0.00</c:formatCode>
                <c:ptCount val="6"/>
                <c:pt idx="0">
                  <c:v>0.92504055331216917</c:v>
                </c:pt>
                <c:pt idx="1">
                  <c:v>0.3808069919280121</c:v>
                </c:pt>
                <c:pt idx="2">
                  <c:v>0.40415636155570528</c:v>
                </c:pt>
                <c:pt idx="3">
                  <c:v>0.48665900721397315</c:v>
                </c:pt>
                <c:pt idx="4">
                  <c:v>0.61766968352502583</c:v>
                </c:pt>
                <c:pt idx="5">
                  <c:v>0.68694383279659155</c:v>
                </c:pt>
              </c:numCache>
            </c:numRef>
          </c:val>
          <c:extLst>
            <c:ext xmlns:c16="http://schemas.microsoft.com/office/drawing/2014/chart" uri="{C3380CC4-5D6E-409C-BE32-E72D297353CC}">
              <c16:uniqueId val="{00000000-90E9-4D02-A679-FB4F04D7238F}"/>
            </c:ext>
          </c:extLst>
        </c:ser>
        <c:ser>
          <c:idx val="1"/>
          <c:order val="1"/>
          <c:tx>
            <c:strRef>
              <c:f>Conclusions!$H$7</c:f>
              <c:strCache>
                <c:ptCount val="1"/>
                <c:pt idx="0">
                  <c:v>SCBA</c:v>
                </c:pt>
              </c:strCache>
            </c:strRef>
          </c:tx>
          <c:spPr>
            <a:solidFill>
              <a:schemeClr val="accent2"/>
            </a:solidFill>
            <a:ln>
              <a:noFill/>
            </a:ln>
            <a:effectLst/>
          </c:spPr>
          <c:invertIfNegative val="0"/>
          <c:cat>
            <c:strRef>
              <c:f>Conclusions!$A$8:$A$13</c:f>
              <c:strCache>
                <c:ptCount val="6"/>
                <c:pt idx="0">
                  <c:v>Sc0</c:v>
                </c:pt>
                <c:pt idx="1">
                  <c:v>Sc1 Deep</c:v>
                </c:pt>
                <c:pt idx="2">
                  <c:v>Sc1 Medium</c:v>
                </c:pt>
                <c:pt idx="3">
                  <c:v>Sc2 </c:v>
                </c:pt>
                <c:pt idx="4">
                  <c:v>Sc3 Deep</c:v>
                </c:pt>
                <c:pt idx="5">
                  <c:v>Sc3 Medium</c:v>
                </c:pt>
              </c:strCache>
            </c:strRef>
          </c:cat>
          <c:val>
            <c:numRef>
              <c:f>Conclusions!$H$8:$H$13</c:f>
              <c:numCache>
                <c:formatCode>0.00</c:formatCode>
                <c:ptCount val="6"/>
                <c:pt idx="0">
                  <c:v>1.1507251950269997</c:v>
                </c:pt>
                <c:pt idx="1">
                  <c:v>17.405409828924405</c:v>
                </c:pt>
                <c:pt idx="2">
                  <c:v>9.9525004818882756</c:v>
                </c:pt>
                <c:pt idx="3">
                  <c:v>0.67483681606571899</c:v>
                </c:pt>
                <c:pt idx="4">
                  <c:v>1.4244646125545335</c:v>
                </c:pt>
                <c:pt idx="5">
                  <c:v>1.5181865336725742</c:v>
                </c:pt>
              </c:numCache>
            </c:numRef>
          </c:val>
          <c:extLst>
            <c:ext xmlns:c16="http://schemas.microsoft.com/office/drawing/2014/chart" uri="{C3380CC4-5D6E-409C-BE32-E72D297353CC}">
              <c16:uniqueId val="{00000001-90E9-4D02-A679-FB4F04D7238F}"/>
            </c:ext>
          </c:extLst>
        </c:ser>
        <c:dLbls>
          <c:showLegendKey val="0"/>
          <c:showVal val="0"/>
          <c:showCatName val="0"/>
          <c:showSerName val="0"/>
          <c:showPercent val="0"/>
          <c:showBubbleSize val="0"/>
        </c:dLbls>
        <c:gapWidth val="219"/>
        <c:overlap val="-27"/>
        <c:axId val="1578237872"/>
        <c:axId val="1578238832"/>
      </c:barChart>
      <c:catAx>
        <c:axId val="1578237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78238832"/>
        <c:crosses val="autoZero"/>
        <c:auto val="1"/>
        <c:lblAlgn val="ctr"/>
        <c:lblOffset val="100"/>
        <c:noMultiLvlLbl val="0"/>
      </c:catAx>
      <c:valAx>
        <c:axId val="157823883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782378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Number of households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Conclusions!$J$7</c:f>
              <c:strCache>
                <c:ptCount val="1"/>
                <c:pt idx="0">
                  <c:v>Direct</c:v>
                </c:pt>
              </c:strCache>
            </c:strRef>
          </c:tx>
          <c:spPr>
            <a:solidFill>
              <a:schemeClr val="accent1"/>
            </a:solidFill>
            <a:ln>
              <a:noFill/>
            </a:ln>
            <a:effectLst/>
          </c:spPr>
          <c:invertIfNegative val="0"/>
          <c:cat>
            <c:strRef>
              <c:f>Conclusions!$A$8:$A$13</c:f>
              <c:strCache>
                <c:ptCount val="6"/>
                <c:pt idx="0">
                  <c:v>Sc0</c:v>
                </c:pt>
                <c:pt idx="1">
                  <c:v>Sc1 Deep</c:v>
                </c:pt>
                <c:pt idx="2">
                  <c:v>Sc1 Medium</c:v>
                </c:pt>
                <c:pt idx="3">
                  <c:v>Sc2 </c:v>
                </c:pt>
                <c:pt idx="4">
                  <c:v>Sc3 Deep</c:v>
                </c:pt>
                <c:pt idx="5">
                  <c:v>Sc3 Medium</c:v>
                </c:pt>
              </c:strCache>
            </c:strRef>
          </c:cat>
          <c:val>
            <c:numRef>
              <c:f>Conclusions!$J$8:$J$13</c:f>
              <c:numCache>
                <c:formatCode>#,##0</c:formatCode>
                <c:ptCount val="6"/>
                <c:pt idx="0">
                  <c:v>340000</c:v>
                </c:pt>
                <c:pt idx="1">
                  <c:v>40000</c:v>
                </c:pt>
                <c:pt idx="2">
                  <c:v>52307.692307692305</c:v>
                </c:pt>
                <c:pt idx="3">
                  <c:v>68000</c:v>
                </c:pt>
                <c:pt idx="4">
                  <c:v>21438.254673854786</c:v>
                </c:pt>
                <c:pt idx="5">
                  <c:v>24531.909520545476</c:v>
                </c:pt>
              </c:numCache>
            </c:numRef>
          </c:val>
          <c:extLst>
            <c:ext xmlns:c16="http://schemas.microsoft.com/office/drawing/2014/chart" uri="{C3380CC4-5D6E-409C-BE32-E72D297353CC}">
              <c16:uniqueId val="{00000000-C894-471B-B77D-16B9AD5CEDB4}"/>
            </c:ext>
          </c:extLst>
        </c:ser>
        <c:ser>
          <c:idx val="1"/>
          <c:order val="1"/>
          <c:tx>
            <c:strRef>
              <c:f>Conclusions!$K$7</c:f>
              <c:strCache>
                <c:ptCount val="1"/>
                <c:pt idx="0">
                  <c:v>With subsidy</c:v>
                </c:pt>
              </c:strCache>
            </c:strRef>
          </c:tx>
          <c:spPr>
            <a:solidFill>
              <a:schemeClr val="accent2"/>
            </a:solidFill>
            <a:ln>
              <a:noFill/>
            </a:ln>
            <a:effectLst/>
          </c:spPr>
          <c:invertIfNegative val="0"/>
          <c:cat>
            <c:strRef>
              <c:f>Conclusions!$A$8:$A$13</c:f>
              <c:strCache>
                <c:ptCount val="6"/>
                <c:pt idx="0">
                  <c:v>Sc0</c:v>
                </c:pt>
                <c:pt idx="1">
                  <c:v>Sc1 Deep</c:v>
                </c:pt>
                <c:pt idx="2">
                  <c:v>Sc1 Medium</c:v>
                </c:pt>
                <c:pt idx="3">
                  <c:v>Sc2 </c:v>
                </c:pt>
                <c:pt idx="4">
                  <c:v>Sc3 Deep</c:v>
                </c:pt>
                <c:pt idx="5">
                  <c:v>Sc3 Medium</c:v>
                </c:pt>
              </c:strCache>
            </c:strRef>
          </c:cat>
          <c:val>
            <c:numRef>
              <c:f>Conclusions!$K$8:$K$13</c:f>
              <c:numCache>
                <c:formatCode>0</c:formatCode>
                <c:ptCount val="6"/>
                <c:pt idx="0" formatCode="#,##0">
                  <c:v>340000</c:v>
                </c:pt>
                <c:pt idx="1">
                  <c:v>80000</c:v>
                </c:pt>
                <c:pt idx="2">
                  <c:v>104615.38461538461</c:v>
                </c:pt>
                <c:pt idx="3">
                  <c:v>136000</c:v>
                </c:pt>
                <c:pt idx="4">
                  <c:v>42876.509347709572</c:v>
                </c:pt>
                <c:pt idx="5">
                  <c:v>49063.819041090952</c:v>
                </c:pt>
              </c:numCache>
            </c:numRef>
          </c:val>
          <c:extLst>
            <c:ext xmlns:c16="http://schemas.microsoft.com/office/drawing/2014/chart" uri="{C3380CC4-5D6E-409C-BE32-E72D297353CC}">
              <c16:uniqueId val="{00000001-C894-471B-B77D-16B9AD5CEDB4}"/>
            </c:ext>
          </c:extLst>
        </c:ser>
        <c:dLbls>
          <c:showLegendKey val="0"/>
          <c:showVal val="0"/>
          <c:showCatName val="0"/>
          <c:showSerName val="0"/>
          <c:showPercent val="0"/>
          <c:showBubbleSize val="0"/>
        </c:dLbls>
        <c:gapWidth val="219"/>
        <c:overlap val="-27"/>
        <c:axId val="1532862080"/>
        <c:axId val="1532858720"/>
      </c:barChart>
      <c:catAx>
        <c:axId val="1532862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858720"/>
        <c:crosses val="autoZero"/>
        <c:auto val="1"/>
        <c:lblAlgn val="ctr"/>
        <c:lblOffset val="100"/>
        <c:noMultiLvlLbl val="0"/>
      </c:catAx>
      <c:valAx>
        <c:axId val="15328587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8620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IRR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NL"/>
        </a:p>
      </c:txPr>
    </c:title>
    <c:autoTitleDeleted val="0"/>
    <c:plotArea>
      <c:layout/>
      <c:barChart>
        <c:barDir val="col"/>
        <c:grouping val="clustered"/>
        <c:varyColors val="0"/>
        <c:ser>
          <c:idx val="0"/>
          <c:order val="0"/>
          <c:tx>
            <c:strRef>
              <c:f>Conclusions!$E$7</c:f>
              <c:strCache>
                <c:ptCount val="1"/>
                <c:pt idx="0">
                  <c:v>CBA</c:v>
                </c:pt>
              </c:strCache>
            </c:strRef>
          </c:tx>
          <c:spPr>
            <a:solidFill>
              <a:schemeClr val="accent1"/>
            </a:solidFill>
            <a:ln>
              <a:noFill/>
            </a:ln>
            <a:effectLst/>
          </c:spPr>
          <c:invertIfNegative val="0"/>
          <c:cat>
            <c:strRef>
              <c:f>Conclusions!$A$8:$A$13</c:f>
              <c:strCache>
                <c:ptCount val="6"/>
                <c:pt idx="0">
                  <c:v>Sc0</c:v>
                </c:pt>
                <c:pt idx="1">
                  <c:v>Sc1 Deep</c:v>
                </c:pt>
                <c:pt idx="2">
                  <c:v>Sc1 Medium</c:v>
                </c:pt>
                <c:pt idx="3">
                  <c:v>Sc2 </c:v>
                </c:pt>
                <c:pt idx="4">
                  <c:v>Sc3 Deep</c:v>
                </c:pt>
                <c:pt idx="5">
                  <c:v>Sc3 Medium</c:v>
                </c:pt>
              </c:strCache>
            </c:strRef>
          </c:cat>
          <c:val>
            <c:numRef>
              <c:f>Conclusions!$E$8:$E$13</c:f>
              <c:numCache>
                <c:formatCode>0%</c:formatCode>
                <c:ptCount val="6"/>
                <c:pt idx="0">
                  <c:v>-7.0746153784468913E-3</c:v>
                </c:pt>
                <c:pt idx="1">
                  <c:v>-4.1688249777024788E-2</c:v>
                </c:pt>
                <c:pt idx="2" formatCode="0.00%">
                  <c:v>-3.7907653129466201E-2</c:v>
                </c:pt>
                <c:pt idx="3" formatCode="0.00%">
                  <c:v>-0.11849036033639482</c:v>
                </c:pt>
                <c:pt idx="4">
                  <c:v>-1.5561794149044905E-2</c:v>
                </c:pt>
                <c:pt idx="5">
                  <c:v>-8.5345377011657453E-3</c:v>
                </c:pt>
              </c:numCache>
            </c:numRef>
          </c:val>
          <c:extLst>
            <c:ext xmlns:c16="http://schemas.microsoft.com/office/drawing/2014/chart" uri="{C3380CC4-5D6E-409C-BE32-E72D297353CC}">
              <c16:uniqueId val="{00000000-A93F-4F4B-B0D5-0638C88C57C4}"/>
            </c:ext>
          </c:extLst>
        </c:ser>
        <c:ser>
          <c:idx val="1"/>
          <c:order val="1"/>
          <c:tx>
            <c:strRef>
              <c:f>Conclusions!$F$7</c:f>
              <c:strCache>
                <c:ptCount val="1"/>
                <c:pt idx="0">
                  <c:v>SCBA</c:v>
                </c:pt>
              </c:strCache>
            </c:strRef>
          </c:tx>
          <c:spPr>
            <a:solidFill>
              <a:schemeClr val="accent2"/>
            </a:solidFill>
            <a:ln>
              <a:noFill/>
            </a:ln>
            <a:effectLst/>
          </c:spPr>
          <c:invertIfNegative val="0"/>
          <c:cat>
            <c:strRef>
              <c:f>Conclusions!$A$8:$A$13</c:f>
              <c:strCache>
                <c:ptCount val="6"/>
                <c:pt idx="0">
                  <c:v>Sc0</c:v>
                </c:pt>
                <c:pt idx="1">
                  <c:v>Sc1 Deep</c:v>
                </c:pt>
                <c:pt idx="2">
                  <c:v>Sc1 Medium</c:v>
                </c:pt>
                <c:pt idx="3">
                  <c:v>Sc2 </c:v>
                </c:pt>
                <c:pt idx="4">
                  <c:v>Sc3 Deep</c:v>
                </c:pt>
                <c:pt idx="5">
                  <c:v>Sc3 Medium</c:v>
                </c:pt>
              </c:strCache>
            </c:strRef>
          </c:cat>
          <c:val>
            <c:numRef>
              <c:f>Conclusions!$F$8:$F$13</c:f>
              <c:numCache>
                <c:formatCode>0%</c:formatCode>
                <c:ptCount val="6"/>
                <c:pt idx="0">
                  <c:v>0.10304066548167623</c:v>
                </c:pt>
                <c:pt idx="1">
                  <c:v>0.10237324467622444</c:v>
                </c:pt>
                <c:pt idx="2">
                  <c:v>0.12190025985490949</c:v>
                </c:pt>
                <c:pt idx="3">
                  <c:v>-6.0315349970859189E-2</c:v>
                </c:pt>
                <c:pt idx="4">
                  <c:v>0.13956875464284391</c:v>
                </c:pt>
                <c:pt idx="5">
                  <c:v>0.30185955063410619</c:v>
                </c:pt>
              </c:numCache>
            </c:numRef>
          </c:val>
          <c:extLst>
            <c:ext xmlns:c16="http://schemas.microsoft.com/office/drawing/2014/chart" uri="{C3380CC4-5D6E-409C-BE32-E72D297353CC}">
              <c16:uniqueId val="{00000001-A93F-4F4B-B0D5-0638C88C57C4}"/>
            </c:ext>
          </c:extLst>
        </c:ser>
        <c:dLbls>
          <c:showLegendKey val="0"/>
          <c:showVal val="0"/>
          <c:showCatName val="0"/>
          <c:showSerName val="0"/>
          <c:showPercent val="0"/>
          <c:showBubbleSize val="0"/>
        </c:dLbls>
        <c:gapWidth val="219"/>
        <c:overlap val="-27"/>
        <c:axId val="1421120080"/>
        <c:axId val="1421122000"/>
      </c:barChart>
      <c:catAx>
        <c:axId val="1421120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421122000"/>
        <c:crosses val="autoZero"/>
        <c:auto val="1"/>
        <c:lblAlgn val="ctr"/>
        <c:lblOffset val="100"/>
        <c:noMultiLvlLbl val="0"/>
      </c:catAx>
      <c:valAx>
        <c:axId val="14211220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4211200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Conclusions!$L$7</c:f>
              <c:strCache>
                <c:ptCount val="1"/>
                <c:pt idx="0">
                  <c:v>NPV per capita</c:v>
                </c:pt>
              </c:strCache>
            </c:strRef>
          </c:tx>
          <c:spPr>
            <a:solidFill>
              <a:schemeClr val="accent1"/>
            </a:solidFill>
            <a:ln>
              <a:noFill/>
            </a:ln>
            <a:effectLst/>
          </c:spPr>
          <c:invertIfNegative val="0"/>
          <c:cat>
            <c:strRef>
              <c:f>Conclusions!$A$8:$A$13</c:f>
              <c:strCache>
                <c:ptCount val="6"/>
                <c:pt idx="0">
                  <c:v>Sc0</c:v>
                </c:pt>
                <c:pt idx="1">
                  <c:v>Sc1 Deep</c:v>
                </c:pt>
                <c:pt idx="2">
                  <c:v>Sc1 Medium</c:v>
                </c:pt>
                <c:pt idx="3">
                  <c:v>Sc2 </c:v>
                </c:pt>
                <c:pt idx="4">
                  <c:v>Sc3 Deep</c:v>
                </c:pt>
                <c:pt idx="5">
                  <c:v>Sc3 Medium</c:v>
                </c:pt>
              </c:strCache>
            </c:strRef>
          </c:cat>
          <c:val>
            <c:numRef>
              <c:f>Conclusions!$L$8:$L$13</c:f>
              <c:numCache>
                <c:formatCode>General</c:formatCode>
                <c:ptCount val="6"/>
                <c:pt idx="0">
                  <c:v>986.55173845517038</c:v>
                </c:pt>
                <c:pt idx="2">
                  <c:v>1357.3956188839716</c:v>
                </c:pt>
                <c:pt idx="3">
                  <c:v>-2550.3597974659233</c:v>
                </c:pt>
                <c:pt idx="4">
                  <c:v>5370.3902227116287</c:v>
                </c:pt>
                <c:pt idx="5">
                  <c:v>6380.6483576602177</c:v>
                </c:pt>
              </c:numCache>
            </c:numRef>
          </c:val>
          <c:extLst>
            <c:ext xmlns:c16="http://schemas.microsoft.com/office/drawing/2014/chart" uri="{C3380CC4-5D6E-409C-BE32-E72D297353CC}">
              <c16:uniqueId val="{00000000-FC70-4D48-A822-223B3868795F}"/>
            </c:ext>
          </c:extLst>
        </c:ser>
        <c:dLbls>
          <c:showLegendKey val="0"/>
          <c:showVal val="0"/>
          <c:showCatName val="0"/>
          <c:showSerName val="0"/>
          <c:showPercent val="0"/>
          <c:showBubbleSize val="0"/>
        </c:dLbls>
        <c:gapWidth val="219"/>
        <c:overlap val="-27"/>
        <c:axId val="1387522384"/>
        <c:axId val="1386756688"/>
      </c:barChart>
      <c:catAx>
        <c:axId val="1387522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86756688"/>
        <c:crosses val="autoZero"/>
        <c:auto val="1"/>
        <c:lblAlgn val="ctr"/>
        <c:lblOffset val="100"/>
        <c:noMultiLvlLbl val="0"/>
      </c:catAx>
      <c:valAx>
        <c:axId val="13867566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875223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accent1_4">
  <dgm:title val=""/>
  <dgm:desc val=""/>
  <dgm:catLst>
    <dgm:cat type="accent1" pri="11400"/>
  </dgm:catLst>
  <dgm:styleLbl name="node0">
    <dgm:fillClrLst meth="cycle">
      <a:schemeClr val="accent1">
        <a:shade val="60000"/>
      </a:schemeClr>
    </dgm:fillClrLst>
    <dgm:linClrLst meth="repeat">
      <a:schemeClr val="lt1"/>
    </dgm:linClrLst>
    <dgm:effectClrLst/>
    <dgm:txLinClrLst/>
    <dgm:txFillClrLst/>
    <dgm:txEffectClrLst/>
  </dgm:styleLbl>
  <dgm:styleLbl name="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alignNode1">
    <dgm:fillClrLst meth="cycle">
      <a:schemeClr val="accent1">
        <a:shade val="50000"/>
      </a:schemeClr>
      <a:schemeClr val="accent1">
        <a:tint val="55000"/>
      </a:schemeClr>
    </dgm:fillClrLst>
    <dgm:linClrLst meth="cycle">
      <a:schemeClr val="accent1">
        <a:shade val="50000"/>
      </a:schemeClr>
      <a:schemeClr val="accent1">
        <a:tint val="55000"/>
      </a:schemeClr>
    </dgm:linClrLst>
    <dgm:effectClrLst/>
    <dgm:txLinClrLst/>
    <dgm:txFillClrLst/>
    <dgm:txEffectClrLst/>
  </dgm:styleLbl>
  <dgm:styleLbl name="ln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vennNode1">
    <dgm:fillClrLst meth="cycle">
      <a:schemeClr val="accent1">
        <a:shade val="80000"/>
        <a:alpha val="50000"/>
      </a:schemeClr>
      <a:schemeClr val="accent1">
        <a:tint val="50000"/>
        <a:alpha val="50000"/>
      </a:schemeClr>
    </dgm:fillClrLst>
    <dgm:linClrLst meth="repeat">
      <a:schemeClr val="lt1"/>
    </dgm:linClrLst>
    <dgm:effectClrLst/>
    <dgm:txLinClrLst/>
    <dgm:txFillClrLst/>
    <dgm:txEffectClrLst/>
  </dgm:styleLbl>
  <dgm:styleLbl name="node2">
    <dgm:fillClrLst>
      <a:schemeClr val="accent1">
        <a:shade val="80000"/>
      </a:schemeClr>
    </dgm:fillClrLst>
    <dgm:linClrLst meth="repeat">
      <a:schemeClr val="lt1"/>
    </dgm:linClrLst>
    <dgm:effectClrLst/>
    <dgm:txLinClrLst/>
    <dgm:txFillClrLst/>
    <dgm:txEffectClrLst/>
  </dgm:styleLbl>
  <dgm:styleLbl name="node3">
    <dgm:fillClrLst>
      <a:schemeClr val="accent1">
        <a:tint val="99000"/>
      </a:schemeClr>
    </dgm:fillClrLst>
    <dgm:linClrLst meth="repeat">
      <a:schemeClr val="lt1"/>
    </dgm:linClrLst>
    <dgm:effectClrLst/>
    <dgm:txLinClrLst/>
    <dgm:txFillClrLst/>
    <dgm:txEffectClrLst/>
  </dgm:styleLbl>
  <dgm:styleLbl name="node4">
    <dgm:fillClrLst>
      <a:schemeClr val="accent1">
        <a:tint val="70000"/>
      </a:schemeClr>
    </dgm:fillClrLst>
    <dgm:linClrLst meth="repeat">
      <a:schemeClr val="lt1"/>
    </dgm:linClrLst>
    <dgm:effectClrLst/>
    <dgm:txLinClrLst/>
    <dgm:txFillClrLst/>
    <dgm:txEffectClrLst/>
  </dgm:styleLbl>
  <dgm:styleLbl name="f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f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b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sibTrans1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accent1">
        <a:shade val="80000"/>
      </a:schemeClr>
    </dgm:fillClrLst>
    <dgm:linClrLst meth="repeat">
      <a:schemeClr val="lt1"/>
    </dgm:linClrLst>
    <dgm:effectClrLst/>
    <dgm:txLinClrLst/>
    <dgm:txFillClrLst/>
    <dgm:txEffectClrLst/>
  </dgm:styleLbl>
  <dgm:styleLbl name="asst1">
    <dgm:fillClrLst meth="repeat">
      <a:schemeClr val="accent1">
        <a:shade val="80000"/>
      </a:schemeClr>
    </dgm:fillClrLst>
    <dgm:linClrLst meth="repeat">
      <a:schemeClr val="lt1"/>
    </dgm:linClrLst>
    <dgm:effectClrLst/>
    <dgm:txLinClrLst/>
    <dgm:txFillClrLst/>
    <dgm:txEffectClrLst/>
  </dgm:styleLbl>
  <dgm:styleLbl name="asst2">
    <dgm:fillClrLst>
      <a:schemeClr val="accent1">
        <a:tint val="90000"/>
      </a:schemeClr>
    </dgm:fillClrLst>
    <dgm:linClrLst meth="repeat">
      <a:schemeClr val="lt1"/>
    </dgm:linClrLst>
    <dgm:effectClrLst/>
    <dgm:txLinClrLst/>
    <dgm:txFillClrLst/>
    <dgm:txEffectClrLst/>
  </dgm:styleLbl>
  <dgm:styleLbl name="asst3">
    <dgm:fillClrLst>
      <a:schemeClr val="accent1">
        <a:tint val="70000"/>
      </a:schemeClr>
    </dgm:fillClrLst>
    <dgm:linClrLst meth="repeat">
      <a:schemeClr val="lt1"/>
    </dgm:linClrLst>
    <dgm:effectClrLst/>
    <dgm:txLinClrLst/>
    <dgm:txFillClrLst/>
    <dgm:txEffectClrLst/>
  </dgm:styleLbl>
  <dgm:styleLbl name="asst4">
    <dgm:fillClrLst>
      <a:schemeClr val="accent1">
        <a:tint val="50000"/>
      </a:schemeClr>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shade val="80000"/>
      </a:schemeClr>
    </dgm:linClrLst>
    <dgm:effectClrLst/>
    <dgm:txLinClrLst/>
    <dgm:txFillClrLst/>
    <dgm:txEffectClrLst/>
  </dgm:styleLbl>
  <dgm:styleLbl name="parChTrans2D2">
    <dgm:fillClrLst meth="repeat">
      <a:schemeClr val="accent1">
        <a:tint val="90000"/>
      </a:schemeClr>
    </dgm:fillClrLst>
    <dgm:linClrLst meth="repeat">
      <a:schemeClr val="accent1">
        <a:tint val="90000"/>
      </a:schemeClr>
    </dgm:linClrLst>
    <dgm:effectClrLst/>
    <dgm:txLinClrLst/>
    <dgm:txFillClrLst/>
    <dgm:txEffectClrLst/>
  </dgm:styleLbl>
  <dgm:styleLbl name="parChTrans2D3">
    <dgm:fillClrLst meth="repeat">
      <a:schemeClr val="accent1">
        <a:tint val="70000"/>
      </a:schemeClr>
    </dgm:fillClrLst>
    <dgm:linClrLst meth="repeat">
      <a:schemeClr val="accent1">
        <a:tint val="70000"/>
      </a:schemeClr>
    </dgm:linClrLst>
    <dgm:effectClrLst/>
    <dgm:txLinClrLst/>
    <dgm:txFillClrLst/>
    <dgm:txEffectClrLst/>
  </dgm:styleLbl>
  <dgm:styleLbl name="parChTrans2D4">
    <dgm:fillClrLst meth="repeat">
      <a:schemeClr val="accent1">
        <a:tint val="50000"/>
      </a:schemeClr>
    </dgm:fillClrLst>
    <dgm:linClrLst meth="repeat">
      <a:schemeClr val="accent1">
        <a:tint val="50000"/>
      </a:schemeClr>
    </dgm:linClrLst>
    <dgm:effectClrLst/>
    <dgm:txLinClrLst/>
    <dgm:txFillClrLst meth="repeat">
      <a:schemeClr val="dk1"/>
    </dgm:txFillClrLst>
    <dgm:txEffectClrLst/>
  </dgm:styleLbl>
  <dgm:styleLbl name="parChTrans1D1">
    <dgm:fillClrLst meth="repeat">
      <a:schemeClr val="accent1">
        <a:shade val="80000"/>
      </a:schemeClr>
    </dgm:fillClrLst>
    <dgm:linClrLst meth="repeat">
      <a:schemeClr val="accent1">
        <a:shade val="80000"/>
      </a:schemeClr>
    </dgm:linClrLst>
    <dgm:effectClrLst/>
    <dgm:txLinClrLst/>
    <dgm:txFillClrLst meth="repeat">
      <a:schemeClr val="tx1"/>
    </dgm:txFillClrLst>
    <dgm:txEffectClrLst/>
  </dgm:styleLbl>
  <dgm:styleLbl name="parChTrans1D2">
    <dgm:fillClrLst meth="repeat">
      <a:schemeClr val="accent1">
        <a:tint val="90000"/>
      </a:schemeClr>
    </dgm:fillClrLst>
    <dgm:linClrLst meth="repeat">
      <a:schemeClr val="accent1">
        <a:tint val="90000"/>
      </a:schemeClr>
    </dgm:linClrLst>
    <dgm:effectClrLst/>
    <dgm:txLinClrLst/>
    <dgm:txFillClrLst meth="repeat">
      <a:schemeClr val="tx1"/>
    </dgm:txFillClrLst>
    <dgm:txEffectClrLst/>
  </dgm:styleLbl>
  <dgm:styleLbl name="parChTrans1D3">
    <dgm:fillClrLst meth="repeat">
      <a:schemeClr val="accent1">
        <a:tint val="70000"/>
      </a:schemeClr>
    </dgm:fillClrLst>
    <dgm:linClrLst meth="repeat">
      <a:schemeClr val="accent1">
        <a:tint val="70000"/>
      </a:schemeClr>
    </dgm:linClrLst>
    <dgm:effectClrLst/>
    <dgm:txLinClrLst/>
    <dgm:txFillClrLst meth="repeat">
      <a:schemeClr val="tx1"/>
    </dgm:txFillClrLst>
    <dgm:txEffectClrLst/>
  </dgm:styleLbl>
  <dgm:styleLbl name="parChTrans1D4">
    <dgm:fillClrLst meth="repeat">
      <a:schemeClr val="accent1">
        <a:tint val="50000"/>
      </a:schemeClr>
    </dgm:fillClrLst>
    <dgm:linClrLst meth="repeat">
      <a:schemeClr val="accent1">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con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align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trAlignAcc1">
    <dgm:fillClrLst meth="repeat">
      <a:schemeClr val="lt1">
        <a:alpha val="55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FgAcc1">
    <dgm:fillClrLst meth="repeat">
      <a:schemeClr val="lt1"/>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align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bgAccFollowNode1">
    <dgm:fillClrLst meth="repeat">
      <a:schemeClr val="accent1">
        <a:alpha val="90000"/>
        <a:tint val="55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a:tint val="50000"/>
      </a:schemeClr>
    </dgm:linClrLst>
    <dgm:effectClrLst/>
    <dgm:txLinClrLst/>
    <dgm:txFillClrLst meth="repeat">
      <a:schemeClr val="dk1"/>
    </dgm:txFillClrLst>
    <dgm:txEffectClrLst/>
  </dgm:styleLbl>
  <dgm:styleLbl name="bgShp">
    <dgm:fillClrLst meth="repeat">
      <a:schemeClr val="accent1">
        <a:tint val="55000"/>
      </a:schemeClr>
    </dgm:fillClrLst>
    <dgm:linClrLst meth="repeat">
      <a:schemeClr val="dk1"/>
    </dgm:linClrLst>
    <dgm:effectClrLst/>
    <dgm:txLinClrLst/>
    <dgm:txFillClrLst meth="repeat">
      <a:schemeClr val="dk1"/>
    </dgm:txFillClrLst>
    <dgm:txEffectClrLst/>
  </dgm:styleLbl>
  <dgm:styleLbl name="dkBgShp">
    <dgm:fillClrLst meth="repeat">
      <a:schemeClr val="accent1">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55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55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97662C18-E135-4D11-952C-95FC25F635AF}" type="doc">
      <dgm:prSet loTypeId="urn:microsoft.com/office/officeart/2005/8/layout/radial6" loCatId="cycle" qsTypeId="urn:microsoft.com/office/officeart/2005/8/quickstyle/simple1" qsCatId="simple" csTypeId="urn:microsoft.com/office/officeart/2005/8/colors/accent1_4" csCatId="accent1" phldr="1"/>
      <dgm:spPr/>
      <dgm:t>
        <a:bodyPr/>
        <a:lstStyle/>
        <a:p>
          <a:endParaRPr lang="el-GR"/>
        </a:p>
      </dgm:t>
    </dgm:pt>
    <dgm:pt modelId="{C6140427-B30B-455F-97A0-5991EAA00659}">
      <dgm:prSet phldrT="[Text]" custT="1"/>
      <dgm:spPr/>
      <dgm:t>
        <a:bodyPr/>
        <a:lstStyle/>
        <a:p>
          <a:r>
            <a:rPr lang="en-US" sz="1400" b="1"/>
            <a:t>Externalities</a:t>
          </a:r>
          <a:endParaRPr lang="el-GR" sz="1400" b="1"/>
        </a:p>
      </dgm:t>
    </dgm:pt>
    <dgm:pt modelId="{76F958A7-EA57-4A44-B5B8-4EA83E09FCA0}" type="parTrans" cxnId="{B6B60ABE-A7EF-45B8-89AF-6EB8B9E00EF1}">
      <dgm:prSet/>
      <dgm:spPr/>
      <dgm:t>
        <a:bodyPr/>
        <a:lstStyle/>
        <a:p>
          <a:endParaRPr lang="el-GR" sz="1400" b="1"/>
        </a:p>
      </dgm:t>
    </dgm:pt>
    <dgm:pt modelId="{3FD4CA55-EB33-4186-9DDF-0FED3FD5A56B}" type="sibTrans" cxnId="{B6B60ABE-A7EF-45B8-89AF-6EB8B9E00EF1}">
      <dgm:prSet/>
      <dgm:spPr/>
      <dgm:t>
        <a:bodyPr/>
        <a:lstStyle/>
        <a:p>
          <a:endParaRPr lang="el-GR" sz="1400" b="1"/>
        </a:p>
      </dgm:t>
    </dgm:pt>
    <dgm:pt modelId="{F76E4AA4-1A18-4838-B57E-61491801A276}">
      <dgm:prSet phldrT="[Text]" custT="1"/>
      <dgm:spPr/>
      <dgm:t>
        <a:bodyPr/>
        <a:lstStyle/>
        <a:p>
          <a:r>
            <a:rPr lang="en-US" sz="1400" b="1"/>
            <a:t>Enviromental impacts</a:t>
          </a:r>
          <a:endParaRPr lang="el-GR" sz="1400" b="1"/>
        </a:p>
      </dgm:t>
    </dgm:pt>
    <dgm:pt modelId="{8FE840EB-2595-45B2-8003-E3D56ABBE102}" type="parTrans" cxnId="{C2AC88E7-689E-47F8-B909-4C1C50199608}">
      <dgm:prSet/>
      <dgm:spPr/>
      <dgm:t>
        <a:bodyPr/>
        <a:lstStyle/>
        <a:p>
          <a:endParaRPr lang="el-GR" sz="1400" b="1"/>
        </a:p>
      </dgm:t>
    </dgm:pt>
    <dgm:pt modelId="{796BA0C8-F522-4092-BC84-CC96517E0ADA}" type="sibTrans" cxnId="{C2AC88E7-689E-47F8-B909-4C1C50199608}">
      <dgm:prSet/>
      <dgm:spPr/>
      <dgm:t>
        <a:bodyPr/>
        <a:lstStyle/>
        <a:p>
          <a:endParaRPr lang="el-GR" sz="1400" b="1"/>
        </a:p>
      </dgm:t>
    </dgm:pt>
    <dgm:pt modelId="{A8360A22-F48B-48D3-944E-4AD091DB5BFE}">
      <dgm:prSet phldrT="[Text]" custT="1"/>
      <dgm:spPr/>
      <dgm:t>
        <a:bodyPr/>
        <a:lstStyle/>
        <a:p>
          <a:r>
            <a:rPr lang="en-US" sz="1400" b="1"/>
            <a:t>Employment impacts</a:t>
          </a:r>
          <a:endParaRPr lang="el-GR" sz="1400" b="1"/>
        </a:p>
      </dgm:t>
    </dgm:pt>
    <dgm:pt modelId="{5EA5775D-10A8-4A0C-AC13-9746427A94B3}" type="parTrans" cxnId="{762E7391-815D-4A6E-8F2C-2898D351D2A0}">
      <dgm:prSet/>
      <dgm:spPr/>
      <dgm:t>
        <a:bodyPr/>
        <a:lstStyle/>
        <a:p>
          <a:endParaRPr lang="el-GR" sz="1400" b="1"/>
        </a:p>
      </dgm:t>
    </dgm:pt>
    <dgm:pt modelId="{6DEA7AB4-81E2-448B-A99F-8844234A457E}" type="sibTrans" cxnId="{762E7391-815D-4A6E-8F2C-2898D351D2A0}">
      <dgm:prSet/>
      <dgm:spPr/>
      <dgm:t>
        <a:bodyPr/>
        <a:lstStyle/>
        <a:p>
          <a:endParaRPr lang="el-GR" sz="1400" b="1"/>
        </a:p>
      </dgm:t>
    </dgm:pt>
    <dgm:pt modelId="{8474F353-12A6-4896-A062-16A3E6400747}">
      <dgm:prSet phldrT="[Text]" custT="1"/>
      <dgm:spPr/>
      <dgm:t>
        <a:bodyPr/>
        <a:lstStyle/>
        <a:p>
          <a:r>
            <a:rPr lang="en-US" sz="1400" b="1"/>
            <a:t>Multiple benefits</a:t>
          </a:r>
          <a:endParaRPr lang="el-GR" sz="1400" b="1"/>
        </a:p>
      </dgm:t>
    </dgm:pt>
    <dgm:pt modelId="{4368DE3F-C0D2-420A-940F-88C9604D5FAB}" type="parTrans" cxnId="{C744F8B0-A5A0-4198-A5F3-DF22D905A9BD}">
      <dgm:prSet/>
      <dgm:spPr/>
      <dgm:t>
        <a:bodyPr/>
        <a:lstStyle/>
        <a:p>
          <a:endParaRPr lang="el-GR" sz="1400" b="1"/>
        </a:p>
      </dgm:t>
    </dgm:pt>
    <dgm:pt modelId="{5BD00AA2-5976-464E-9E53-74590DC66E63}" type="sibTrans" cxnId="{C744F8B0-A5A0-4198-A5F3-DF22D905A9BD}">
      <dgm:prSet/>
      <dgm:spPr/>
      <dgm:t>
        <a:bodyPr/>
        <a:lstStyle/>
        <a:p>
          <a:endParaRPr lang="el-GR" sz="1400" b="1"/>
        </a:p>
      </dgm:t>
    </dgm:pt>
    <dgm:pt modelId="{92A0BFB1-2B4E-459A-B1A7-55B54C690E5E}">
      <dgm:prSet phldrT="[Text]" custT="1"/>
      <dgm:spPr/>
      <dgm:t>
        <a:bodyPr/>
        <a:lstStyle/>
        <a:p>
          <a:r>
            <a:rPr lang="en-US" sz="1400" b="1"/>
            <a:t>Buiilding value increase</a:t>
          </a:r>
          <a:endParaRPr lang="el-GR" sz="1400" b="1"/>
        </a:p>
      </dgm:t>
    </dgm:pt>
    <dgm:pt modelId="{D4A27011-3693-452B-8BCF-DA7790C1EF73}" type="parTrans" cxnId="{5017B4E0-70D3-4E47-8D61-B814990E375A}">
      <dgm:prSet/>
      <dgm:spPr/>
      <dgm:t>
        <a:bodyPr/>
        <a:lstStyle/>
        <a:p>
          <a:endParaRPr lang="el-GR" sz="1400" b="1"/>
        </a:p>
      </dgm:t>
    </dgm:pt>
    <dgm:pt modelId="{53BB8713-8D12-4E82-93D6-A74BF343C19F}" type="sibTrans" cxnId="{5017B4E0-70D3-4E47-8D61-B814990E375A}">
      <dgm:prSet/>
      <dgm:spPr/>
      <dgm:t>
        <a:bodyPr/>
        <a:lstStyle/>
        <a:p>
          <a:endParaRPr lang="el-GR" sz="1400" b="1"/>
        </a:p>
      </dgm:t>
    </dgm:pt>
    <dgm:pt modelId="{7B6C9AB9-E569-4998-A419-845B840A37E4}" type="pres">
      <dgm:prSet presAssocID="{97662C18-E135-4D11-952C-95FC25F635AF}" presName="Name0" presStyleCnt="0">
        <dgm:presLayoutVars>
          <dgm:chMax val="1"/>
          <dgm:dir/>
          <dgm:animLvl val="ctr"/>
          <dgm:resizeHandles val="exact"/>
        </dgm:presLayoutVars>
      </dgm:prSet>
      <dgm:spPr/>
    </dgm:pt>
    <dgm:pt modelId="{A0A6F734-88C6-472A-8E00-2556A4C14A57}" type="pres">
      <dgm:prSet presAssocID="{C6140427-B30B-455F-97A0-5991EAA00659}" presName="centerShape" presStyleLbl="node0" presStyleIdx="0" presStyleCnt="1"/>
      <dgm:spPr/>
    </dgm:pt>
    <dgm:pt modelId="{F3EFC943-F80B-483B-90BD-00D63D2C8CFE}" type="pres">
      <dgm:prSet presAssocID="{F76E4AA4-1A18-4838-B57E-61491801A276}" presName="node" presStyleLbl="node1" presStyleIdx="0" presStyleCnt="4" custScaleX="137203" custScaleY="91469">
        <dgm:presLayoutVars>
          <dgm:bulletEnabled val="1"/>
        </dgm:presLayoutVars>
      </dgm:prSet>
      <dgm:spPr/>
    </dgm:pt>
    <dgm:pt modelId="{2D717653-5E9A-4C55-A57C-00AD96A685B9}" type="pres">
      <dgm:prSet presAssocID="{F76E4AA4-1A18-4838-B57E-61491801A276}" presName="dummy" presStyleCnt="0"/>
      <dgm:spPr/>
    </dgm:pt>
    <dgm:pt modelId="{B0FB8751-C0E7-4829-85BA-13469E64AC84}" type="pres">
      <dgm:prSet presAssocID="{796BA0C8-F522-4092-BC84-CC96517E0ADA}" presName="sibTrans" presStyleLbl="sibTrans2D1" presStyleIdx="0" presStyleCnt="4"/>
      <dgm:spPr/>
    </dgm:pt>
    <dgm:pt modelId="{DB001789-1C68-40BF-894A-40024B3983FC}" type="pres">
      <dgm:prSet presAssocID="{A8360A22-F48B-48D3-944E-4AD091DB5BFE}" presName="node" presStyleLbl="node1" presStyleIdx="1" presStyleCnt="4" custScaleX="137203" custScaleY="91469">
        <dgm:presLayoutVars>
          <dgm:bulletEnabled val="1"/>
        </dgm:presLayoutVars>
      </dgm:prSet>
      <dgm:spPr/>
    </dgm:pt>
    <dgm:pt modelId="{6D8810F2-D02B-4033-AFE1-80C28CED6416}" type="pres">
      <dgm:prSet presAssocID="{A8360A22-F48B-48D3-944E-4AD091DB5BFE}" presName="dummy" presStyleCnt="0"/>
      <dgm:spPr/>
    </dgm:pt>
    <dgm:pt modelId="{BFD5A885-9F26-4DB2-845C-1F73F8D447E4}" type="pres">
      <dgm:prSet presAssocID="{6DEA7AB4-81E2-448B-A99F-8844234A457E}" presName="sibTrans" presStyleLbl="sibTrans2D1" presStyleIdx="1" presStyleCnt="4"/>
      <dgm:spPr/>
    </dgm:pt>
    <dgm:pt modelId="{B5D7043E-5066-442B-A286-9E9140287DFD}" type="pres">
      <dgm:prSet presAssocID="{8474F353-12A6-4896-A062-16A3E6400747}" presName="node" presStyleLbl="node1" presStyleIdx="2" presStyleCnt="4" custScaleX="137203" custScaleY="91469">
        <dgm:presLayoutVars>
          <dgm:bulletEnabled val="1"/>
        </dgm:presLayoutVars>
      </dgm:prSet>
      <dgm:spPr/>
    </dgm:pt>
    <dgm:pt modelId="{AF58DCA4-B82D-4428-BFB2-363E9E89532C}" type="pres">
      <dgm:prSet presAssocID="{8474F353-12A6-4896-A062-16A3E6400747}" presName="dummy" presStyleCnt="0"/>
      <dgm:spPr/>
    </dgm:pt>
    <dgm:pt modelId="{F33E01FC-62CF-43A2-8830-915E8F10799D}" type="pres">
      <dgm:prSet presAssocID="{5BD00AA2-5976-464E-9E53-74590DC66E63}" presName="sibTrans" presStyleLbl="sibTrans2D1" presStyleIdx="2" presStyleCnt="4"/>
      <dgm:spPr/>
    </dgm:pt>
    <dgm:pt modelId="{156A591C-CD7E-436E-B313-723E60DA2C57}" type="pres">
      <dgm:prSet presAssocID="{92A0BFB1-2B4E-459A-B1A7-55B54C690E5E}" presName="node" presStyleLbl="node1" presStyleIdx="3" presStyleCnt="4" custScaleX="137203" custScaleY="91469">
        <dgm:presLayoutVars>
          <dgm:bulletEnabled val="1"/>
        </dgm:presLayoutVars>
      </dgm:prSet>
      <dgm:spPr/>
    </dgm:pt>
    <dgm:pt modelId="{30AAEF62-5119-4782-9126-8D479E3972A8}" type="pres">
      <dgm:prSet presAssocID="{92A0BFB1-2B4E-459A-B1A7-55B54C690E5E}" presName="dummy" presStyleCnt="0"/>
      <dgm:spPr/>
    </dgm:pt>
    <dgm:pt modelId="{5678403B-3895-42B3-9B6E-4B781FB83C0E}" type="pres">
      <dgm:prSet presAssocID="{53BB8713-8D12-4E82-93D6-A74BF343C19F}" presName="sibTrans" presStyleLbl="sibTrans2D1" presStyleIdx="3" presStyleCnt="4"/>
      <dgm:spPr/>
    </dgm:pt>
  </dgm:ptLst>
  <dgm:cxnLst>
    <dgm:cxn modelId="{81BE600D-FEA4-4806-BD0C-29D95B18695B}" type="presOf" srcId="{C6140427-B30B-455F-97A0-5991EAA00659}" destId="{A0A6F734-88C6-472A-8E00-2556A4C14A57}" srcOrd="0" destOrd="0" presId="urn:microsoft.com/office/officeart/2005/8/layout/radial6"/>
    <dgm:cxn modelId="{E13D1C21-9E15-43D0-841F-AAA886F0E59B}" type="presOf" srcId="{F76E4AA4-1A18-4838-B57E-61491801A276}" destId="{F3EFC943-F80B-483B-90BD-00D63D2C8CFE}" srcOrd="0" destOrd="0" presId="urn:microsoft.com/office/officeart/2005/8/layout/radial6"/>
    <dgm:cxn modelId="{6975BC6F-8256-4E50-9B29-B319FAC9F67C}" type="presOf" srcId="{6DEA7AB4-81E2-448B-A99F-8844234A457E}" destId="{BFD5A885-9F26-4DB2-845C-1F73F8D447E4}" srcOrd="0" destOrd="0" presId="urn:microsoft.com/office/officeart/2005/8/layout/radial6"/>
    <dgm:cxn modelId="{54E2CB8D-0A60-467C-B6CE-EB5552C5B287}" type="presOf" srcId="{92A0BFB1-2B4E-459A-B1A7-55B54C690E5E}" destId="{156A591C-CD7E-436E-B313-723E60DA2C57}" srcOrd="0" destOrd="0" presId="urn:microsoft.com/office/officeart/2005/8/layout/radial6"/>
    <dgm:cxn modelId="{762E7391-815D-4A6E-8F2C-2898D351D2A0}" srcId="{C6140427-B30B-455F-97A0-5991EAA00659}" destId="{A8360A22-F48B-48D3-944E-4AD091DB5BFE}" srcOrd="1" destOrd="0" parTransId="{5EA5775D-10A8-4A0C-AC13-9746427A94B3}" sibTransId="{6DEA7AB4-81E2-448B-A99F-8844234A457E}"/>
    <dgm:cxn modelId="{70E0C998-B46D-4FED-BEE1-E251B79A9CD2}" type="presOf" srcId="{5BD00AA2-5976-464E-9E53-74590DC66E63}" destId="{F33E01FC-62CF-43A2-8830-915E8F10799D}" srcOrd="0" destOrd="0" presId="urn:microsoft.com/office/officeart/2005/8/layout/radial6"/>
    <dgm:cxn modelId="{287AFC9B-078A-4AC8-AD74-D94B00BA0918}" type="presOf" srcId="{A8360A22-F48B-48D3-944E-4AD091DB5BFE}" destId="{DB001789-1C68-40BF-894A-40024B3983FC}" srcOrd="0" destOrd="0" presId="urn:microsoft.com/office/officeart/2005/8/layout/radial6"/>
    <dgm:cxn modelId="{C744F8B0-A5A0-4198-A5F3-DF22D905A9BD}" srcId="{C6140427-B30B-455F-97A0-5991EAA00659}" destId="{8474F353-12A6-4896-A062-16A3E6400747}" srcOrd="2" destOrd="0" parTransId="{4368DE3F-C0D2-420A-940F-88C9604D5FAB}" sibTransId="{5BD00AA2-5976-464E-9E53-74590DC66E63}"/>
    <dgm:cxn modelId="{B6B60ABE-A7EF-45B8-89AF-6EB8B9E00EF1}" srcId="{97662C18-E135-4D11-952C-95FC25F635AF}" destId="{C6140427-B30B-455F-97A0-5991EAA00659}" srcOrd="0" destOrd="0" parTransId="{76F958A7-EA57-4A44-B5B8-4EA83E09FCA0}" sibTransId="{3FD4CA55-EB33-4186-9DDF-0FED3FD5A56B}"/>
    <dgm:cxn modelId="{37DB86C1-D745-4246-B548-0B0D9ECF1319}" type="presOf" srcId="{796BA0C8-F522-4092-BC84-CC96517E0ADA}" destId="{B0FB8751-C0E7-4829-85BA-13469E64AC84}" srcOrd="0" destOrd="0" presId="urn:microsoft.com/office/officeart/2005/8/layout/radial6"/>
    <dgm:cxn modelId="{F96EA2DC-8D76-4802-9D9F-489B34B2534D}" type="presOf" srcId="{8474F353-12A6-4896-A062-16A3E6400747}" destId="{B5D7043E-5066-442B-A286-9E9140287DFD}" srcOrd="0" destOrd="0" presId="urn:microsoft.com/office/officeart/2005/8/layout/radial6"/>
    <dgm:cxn modelId="{5017B4E0-70D3-4E47-8D61-B814990E375A}" srcId="{C6140427-B30B-455F-97A0-5991EAA00659}" destId="{92A0BFB1-2B4E-459A-B1A7-55B54C690E5E}" srcOrd="3" destOrd="0" parTransId="{D4A27011-3693-452B-8BCF-DA7790C1EF73}" sibTransId="{53BB8713-8D12-4E82-93D6-A74BF343C19F}"/>
    <dgm:cxn modelId="{C2AC88E7-689E-47F8-B909-4C1C50199608}" srcId="{C6140427-B30B-455F-97A0-5991EAA00659}" destId="{F76E4AA4-1A18-4838-B57E-61491801A276}" srcOrd="0" destOrd="0" parTransId="{8FE840EB-2595-45B2-8003-E3D56ABBE102}" sibTransId="{796BA0C8-F522-4092-BC84-CC96517E0ADA}"/>
    <dgm:cxn modelId="{445A59ED-7F07-429B-ADA5-0873919C7972}" type="presOf" srcId="{53BB8713-8D12-4E82-93D6-A74BF343C19F}" destId="{5678403B-3895-42B3-9B6E-4B781FB83C0E}" srcOrd="0" destOrd="0" presId="urn:microsoft.com/office/officeart/2005/8/layout/radial6"/>
    <dgm:cxn modelId="{A8AC01FC-4043-4C4D-B28C-3FEFB26BB93F}" type="presOf" srcId="{97662C18-E135-4D11-952C-95FC25F635AF}" destId="{7B6C9AB9-E569-4998-A419-845B840A37E4}" srcOrd="0" destOrd="0" presId="urn:microsoft.com/office/officeart/2005/8/layout/radial6"/>
    <dgm:cxn modelId="{95E5AF63-24A8-4D21-BDAA-801134925B63}" type="presParOf" srcId="{7B6C9AB9-E569-4998-A419-845B840A37E4}" destId="{A0A6F734-88C6-472A-8E00-2556A4C14A57}" srcOrd="0" destOrd="0" presId="urn:microsoft.com/office/officeart/2005/8/layout/radial6"/>
    <dgm:cxn modelId="{17CAB1D2-BBA1-4E29-AF85-8A47C7D1368C}" type="presParOf" srcId="{7B6C9AB9-E569-4998-A419-845B840A37E4}" destId="{F3EFC943-F80B-483B-90BD-00D63D2C8CFE}" srcOrd="1" destOrd="0" presId="urn:microsoft.com/office/officeart/2005/8/layout/radial6"/>
    <dgm:cxn modelId="{6419A2AF-C1BB-4961-887C-96E9DCFF080D}" type="presParOf" srcId="{7B6C9AB9-E569-4998-A419-845B840A37E4}" destId="{2D717653-5E9A-4C55-A57C-00AD96A685B9}" srcOrd="2" destOrd="0" presId="urn:microsoft.com/office/officeart/2005/8/layout/radial6"/>
    <dgm:cxn modelId="{0DF21C07-169E-4C49-9DBC-64E73937E3D0}" type="presParOf" srcId="{7B6C9AB9-E569-4998-A419-845B840A37E4}" destId="{B0FB8751-C0E7-4829-85BA-13469E64AC84}" srcOrd="3" destOrd="0" presId="urn:microsoft.com/office/officeart/2005/8/layout/radial6"/>
    <dgm:cxn modelId="{4C86BE6A-8C6F-441C-9D78-E533E7F83CEC}" type="presParOf" srcId="{7B6C9AB9-E569-4998-A419-845B840A37E4}" destId="{DB001789-1C68-40BF-894A-40024B3983FC}" srcOrd="4" destOrd="0" presId="urn:microsoft.com/office/officeart/2005/8/layout/radial6"/>
    <dgm:cxn modelId="{0114A07A-3DBF-4144-BB87-04E40943A1FF}" type="presParOf" srcId="{7B6C9AB9-E569-4998-A419-845B840A37E4}" destId="{6D8810F2-D02B-4033-AFE1-80C28CED6416}" srcOrd="5" destOrd="0" presId="urn:microsoft.com/office/officeart/2005/8/layout/radial6"/>
    <dgm:cxn modelId="{407FCDC6-5FEB-40CD-B611-A08CE7004531}" type="presParOf" srcId="{7B6C9AB9-E569-4998-A419-845B840A37E4}" destId="{BFD5A885-9F26-4DB2-845C-1F73F8D447E4}" srcOrd="6" destOrd="0" presId="urn:microsoft.com/office/officeart/2005/8/layout/radial6"/>
    <dgm:cxn modelId="{46F715DF-FB46-4E15-A8AD-5647F27FBD79}" type="presParOf" srcId="{7B6C9AB9-E569-4998-A419-845B840A37E4}" destId="{B5D7043E-5066-442B-A286-9E9140287DFD}" srcOrd="7" destOrd="0" presId="urn:microsoft.com/office/officeart/2005/8/layout/radial6"/>
    <dgm:cxn modelId="{F32808F5-740A-4617-ADE8-B56ED8EA2487}" type="presParOf" srcId="{7B6C9AB9-E569-4998-A419-845B840A37E4}" destId="{AF58DCA4-B82D-4428-BFB2-363E9E89532C}" srcOrd="8" destOrd="0" presId="urn:microsoft.com/office/officeart/2005/8/layout/radial6"/>
    <dgm:cxn modelId="{60C5D9C2-34DA-4FEF-A886-5A949430A066}" type="presParOf" srcId="{7B6C9AB9-E569-4998-A419-845B840A37E4}" destId="{F33E01FC-62CF-43A2-8830-915E8F10799D}" srcOrd="9" destOrd="0" presId="urn:microsoft.com/office/officeart/2005/8/layout/radial6"/>
    <dgm:cxn modelId="{ACEE9B7A-3090-4C2E-AB11-076D05DD66E0}" type="presParOf" srcId="{7B6C9AB9-E569-4998-A419-845B840A37E4}" destId="{156A591C-CD7E-436E-B313-723E60DA2C57}" srcOrd="10" destOrd="0" presId="urn:microsoft.com/office/officeart/2005/8/layout/radial6"/>
    <dgm:cxn modelId="{560A83A1-13C6-41FF-BB36-A377C253049B}" type="presParOf" srcId="{7B6C9AB9-E569-4998-A419-845B840A37E4}" destId="{30AAEF62-5119-4782-9126-8D479E3972A8}" srcOrd="11" destOrd="0" presId="urn:microsoft.com/office/officeart/2005/8/layout/radial6"/>
    <dgm:cxn modelId="{1A7B094B-7D86-451E-BE6C-0F4430823C2C}" type="presParOf" srcId="{7B6C9AB9-E569-4998-A419-845B840A37E4}" destId="{5678403B-3895-42B3-9B6E-4B781FB83C0E}" srcOrd="12" destOrd="0" presId="urn:microsoft.com/office/officeart/2005/8/layout/radial6"/>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678403B-3895-42B3-9B6E-4B781FB83C0E}">
      <dsp:nvSpPr>
        <dsp:cNvPr id="0" name=""/>
        <dsp:cNvSpPr/>
      </dsp:nvSpPr>
      <dsp:spPr>
        <a:xfrm>
          <a:off x="1526289" y="341133"/>
          <a:ext cx="2278699" cy="2278699"/>
        </a:xfrm>
        <a:prstGeom prst="blockArc">
          <a:avLst>
            <a:gd name="adj1" fmla="val 10800000"/>
            <a:gd name="adj2" fmla="val 16200000"/>
            <a:gd name="adj3" fmla="val 4641"/>
          </a:avLst>
        </a:prstGeom>
        <a:solidFill>
          <a:schemeClr val="accent1">
            <a:shade val="90000"/>
            <a:hueOff val="175458"/>
            <a:satOff val="-1607"/>
            <a:lumOff val="13877"/>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F33E01FC-62CF-43A2-8830-915E8F10799D}">
      <dsp:nvSpPr>
        <dsp:cNvPr id="0" name=""/>
        <dsp:cNvSpPr/>
      </dsp:nvSpPr>
      <dsp:spPr>
        <a:xfrm>
          <a:off x="1526289" y="341133"/>
          <a:ext cx="2278699" cy="2278699"/>
        </a:xfrm>
        <a:prstGeom prst="blockArc">
          <a:avLst>
            <a:gd name="adj1" fmla="val 5400000"/>
            <a:gd name="adj2" fmla="val 10800000"/>
            <a:gd name="adj3" fmla="val 4641"/>
          </a:avLst>
        </a:prstGeom>
        <a:solidFill>
          <a:schemeClr val="accent1">
            <a:shade val="90000"/>
            <a:hueOff val="350915"/>
            <a:satOff val="-3215"/>
            <a:lumOff val="27754"/>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BFD5A885-9F26-4DB2-845C-1F73F8D447E4}">
      <dsp:nvSpPr>
        <dsp:cNvPr id="0" name=""/>
        <dsp:cNvSpPr/>
      </dsp:nvSpPr>
      <dsp:spPr>
        <a:xfrm>
          <a:off x="1526289" y="341133"/>
          <a:ext cx="2278699" cy="2278699"/>
        </a:xfrm>
        <a:prstGeom prst="blockArc">
          <a:avLst>
            <a:gd name="adj1" fmla="val 0"/>
            <a:gd name="adj2" fmla="val 5400000"/>
            <a:gd name="adj3" fmla="val 4641"/>
          </a:avLst>
        </a:prstGeom>
        <a:solidFill>
          <a:schemeClr val="accent1">
            <a:shade val="90000"/>
            <a:hueOff val="175458"/>
            <a:satOff val="-1607"/>
            <a:lumOff val="13877"/>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B0FB8751-C0E7-4829-85BA-13469E64AC84}">
      <dsp:nvSpPr>
        <dsp:cNvPr id="0" name=""/>
        <dsp:cNvSpPr/>
      </dsp:nvSpPr>
      <dsp:spPr>
        <a:xfrm>
          <a:off x="1526289" y="341133"/>
          <a:ext cx="2278699" cy="2278699"/>
        </a:xfrm>
        <a:prstGeom prst="blockArc">
          <a:avLst>
            <a:gd name="adj1" fmla="val 16200000"/>
            <a:gd name="adj2" fmla="val 0"/>
            <a:gd name="adj3" fmla="val 4641"/>
          </a:avLst>
        </a:prstGeom>
        <a:solidFill>
          <a:schemeClr val="accent1">
            <a:shade val="9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A0A6F734-88C6-472A-8E00-2556A4C14A57}">
      <dsp:nvSpPr>
        <dsp:cNvPr id="0" name=""/>
        <dsp:cNvSpPr/>
      </dsp:nvSpPr>
      <dsp:spPr>
        <a:xfrm>
          <a:off x="2141102" y="955945"/>
          <a:ext cx="1049074" cy="1049074"/>
        </a:xfrm>
        <a:prstGeom prst="ellipse">
          <a:avLst/>
        </a:prstGeom>
        <a:solidFill>
          <a:schemeClr val="accent1">
            <a:shade val="60000"/>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622300">
            <a:lnSpc>
              <a:spcPct val="90000"/>
            </a:lnSpc>
            <a:spcBef>
              <a:spcPct val="0"/>
            </a:spcBef>
            <a:spcAft>
              <a:spcPct val="35000"/>
            </a:spcAft>
            <a:buNone/>
          </a:pPr>
          <a:r>
            <a:rPr lang="en-US" sz="1400" b="1" kern="1200"/>
            <a:t>Externalities</a:t>
          </a:r>
          <a:endParaRPr lang="el-GR" sz="1400" b="1" kern="1200"/>
        </a:p>
      </dsp:txBody>
      <dsp:txXfrm>
        <a:off x="2294735" y="1109578"/>
        <a:ext cx="741808" cy="741808"/>
      </dsp:txXfrm>
    </dsp:sp>
    <dsp:sp modelId="{F3EFC943-F80B-483B-90BD-00D63D2C8CFE}">
      <dsp:nvSpPr>
        <dsp:cNvPr id="0" name=""/>
        <dsp:cNvSpPr/>
      </dsp:nvSpPr>
      <dsp:spPr>
        <a:xfrm>
          <a:off x="2161862" y="31717"/>
          <a:ext cx="1007553" cy="671704"/>
        </a:xfrm>
        <a:prstGeom prst="ellipse">
          <a:avLst/>
        </a:prstGeom>
        <a:solidFill>
          <a:schemeClr val="accent1">
            <a:shade val="50000"/>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622300">
            <a:lnSpc>
              <a:spcPct val="90000"/>
            </a:lnSpc>
            <a:spcBef>
              <a:spcPct val="0"/>
            </a:spcBef>
            <a:spcAft>
              <a:spcPct val="35000"/>
            </a:spcAft>
            <a:buNone/>
          </a:pPr>
          <a:r>
            <a:rPr lang="en-US" sz="1400" b="1" kern="1200"/>
            <a:t>Enviromental impacts</a:t>
          </a:r>
          <a:endParaRPr lang="el-GR" sz="1400" b="1" kern="1200"/>
        </a:p>
      </dsp:txBody>
      <dsp:txXfrm>
        <a:off x="2309415" y="130086"/>
        <a:ext cx="712447" cy="474966"/>
      </dsp:txXfrm>
    </dsp:sp>
    <dsp:sp modelId="{DB001789-1C68-40BF-894A-40024B3983FC}">
      <dsp:nvSpPr>
        <dsp:cNvPr id="0" name=""/>
        <dsp:cNvSpPr/>
      </dsp:nvSpPr>
      <dsp:spPr>
        <a:xfrm>
          <a:off x="3274775" y="1144630"/>
          <a:ext cx="1007553" cy="671704"/>
        </a:xfrm>
        <a:prstGeom prst="ellipse">
          <a:avLst/>
        </a:prstGeom>
        <a:solidFill>
          <a:schemeClr val="accent1">
            <a:shade val="50000"/>
            <a:hueOff val="167129"/>
            <a:satOff val="4478"/>
            <a:lumOff val="19726"/>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622300">
            <a:lnSpc>
              <a:spcPct val="90000"/>
            </a:lnSpc>
            <a:spcBef>
              <a:spcPct val="0"/>
            </a:spcBef>
            <a:spcAft>
              <a:spcPct val="35000"/>
            </a:spcAft>
            <a:buNone/>
          </a:pPr>
          <a:r>
            <a:rPr lang="en-US" sz="1400" b="1" kern="1200"/>
            <a:t>Employment impacts</a:t>
          </a:r>
          <a:endParaRPr lang="el-GR" sz="1400" b="1" kern="1200"/>
        </a:p>
      </dsp:txBody>
      <dsp:txXfrm>
        <a:off x="3422328" y="1242999"/>
        <a:ext cx="712447" cy="474966"/>
      </dsp:txXfrm>
    </dsp:sp>
    <dsp:sp modelId="{B5D7043E-5066-442B-A286-9E9140287DFD}">
      <dsp:nvSpPr>
        <dsp:cNvPr id="0" name=""/>
        <dsp:cNvSpPr/>
      </dsp:nvSpPr>
      <dsp:spPr>
        <a:xfrm>
          <a:off x="2161862" y="2257543"/>
          <a:ext cx="1007553" cy="671704"/>
        </a:xfrm>
        <a:prstGeom prst="ellipse">
          <a:avLst/>
        </a:prstGeom>
        <a:solidFill>
          <a:schemeClr val="accent1">
            <a:shade val="50000"/>
            <a:hueOff val="334258"/>
            <a:satOff val="8955"/>
            <a:lumOff val="39453"/>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622300">
            <a:lnSpc>
              <a:spcPct val="90000"/>
            </a:lnSpc>
            <a:spcBef>
              <a:spcPct val="0"/>
            </a:spcBef>
            <a:spcAft>
              <a:spcPct val="35000"/>
            </a:spcAft>
            <a:buNone/>
          </a:pPr>
          <a:r>
            <a:rPr lang="en-US" sz="1400" b="1" kern="1200"/>
            <a:t>Multiple benefits</a:t>
          </a:r>
          <a:endParaRPr lang="el-GR" sz="1400" b="1" kern="1200"/>
        </a:p>
      </dsp:txBody>
      <dsp:txXfrm>
        <a:off x="2309415" y="2355912"/>
        <a:ext cx="712447" cy="474966"/>
      </dsp:txXfrm>
    </dsp:sp>
    <dsp:sp modelId="{156A591C-CD7E-436E-B313-723E60DA2C57}">
      <dsp:nvSpPr>
        <dsp:cNvPr id="0" name=""/>
        <dsp:cNvSpPr/>
      </dsp:nvSpPr>
      <dsp:spPr>
        <a:xfrm>
          <a:off x="1048949" y="1144630"/>
          <a:ext cx="1007553" cy="671704"/>
        </a:xfrm>
        <a:prstGeom prst="ellipse">
          <a:avLst/>
        </a:prstGeom>
        <a:solidFill>
          <a:schemeClr val="accent1">
            <a:shade val="50000"/>
            <a:hueOff val="167129"/>
            <a:satOff val="4478"/>
            <a:lumOff val="19726"/>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7780" tIns="17780" rIns="17780" bIns="17780" numCol="1" spcCol="1270" anchor="ctr" anchorCtr="0">
          <a:noAutofit/>
        </a:bodyPr>
        <a:lstStyle/>
        <a:p>
          <a:pPr marL="0" lvl="0" indent="0" algn="ctr" defTabSz="622300">
            <a:lnSpc>
              <a:spcPct val="90000"/>
            </a:lnSpc>
            <a:spcBef>
              <a:spcPct val="0"/>
            </a:spcBef>
            <a:spcAft>
              <a:spcPct val="35000"/>
            </a:spcAft>
            <a:buNone/>
          </a:pPr>
          <a:r>
            <a:rPr lang="en-US" sz="1400" b="1" kern="1200"/>
            <a:t>Buiilding value increase</a:t>
          </a:r>
          <a:endParaRPr lang="el-GR" sz="1400" b="1" kern="1200"/>
        </a:p>
      </dsp:txBody>
      <dsp:txXfrm>
        <a:off x="1196502" y="1242999"/>
        <a:ext cx="712447" cy="474966"/>
      </dsp:txXfrm>
    </dsp:sp>
  </dsp:spTree>
</dsp:drawing>
</file>

<file path=xl/diagrams/layout1.xml><?xml version="1.0" encoding="utf-8"?>
<dgm:layoutDef xmlns:dgm="http://schemas.openxmlformats.org/drawingml/2006/diagram" xmlns:a="http://schemas.openxmlformats.org/drawingml/2006/main" uniqueId="urn:microsoft.com/office/officeart/2005/8/layout/radial6">
  <dgm:title val=""/>
  <dgm:desc val=""/>
  <dgm:catLst>
    <dgm:cat type="cycle" pri="9000"/>
    <dgm:cat type="relationship" pri="21000"/>
  </dgm:catLst>
  <dgm:sampData>
    <dgm:dataModel>
      <dgm:ptLst>
        <dgm:pt modelId="0" type="doc"/>
        <dgm:pt modelId="1">
          <dgm:prSet phldr="1"/>
        </dgm:pt>
        <dgm:pt modelId="11">
          <dgm:prSet phldr="1"/>
        </dgm:pt>
        <dgm:pt modelId="12">
          <dgm:prSet phldr="1"/>
        </dgm:pt>
        <dgm:pt modelId="13">
          <dgm:prSet phldr="1"/>
        </dgm:pt>
        <dgm:pt modelId="14">
          <dgm:prSet phldr="1"/>
        </dgm:pt>
      </dgm:ptLst>
      <dgm:cxnLst>
        <dgm:cxn modelId="2" srcId="0" destId="1" srcOrd="0" destOrd="0"/>
        <dgm:cxn modelId="3" srcId="1" destId="11" srcOrd="0" destOrd="0"/>
        <dgm:cxn modelId="4" srcId="1" destId="12" srcOrd="1" destOrd="0"/>
        <dgm:cxn modelId="5" srcId="1" destId="13" srcOrd="2" destOrd="0"/>
        <dgm:cxn modelId="6" srcId="1" destId="14" srcOrd="3" destOrd="0"/>
      </dgm:cxnLst>
      <dgm:bg/>
      <dgm:whole/>
    </dgm:dataModel>
  </dgm:sampData>
  <dgm:styleData>
    <dgm:dataModel>
      <dgm:ptLst>
        <dgm:pt modelId="0" type="doc"/>
        <dgm:pt modelId="1"/>
        <dgm:pt modelId="11"/>
        <dgm:pt modelId="12"/>
        <dgm:pt modelId="13"/>
      </dgm:ptLst>
      <dgm:cxnLst>
        <dgm:cxn modelId="2" srcId="0" destId="1" srcOrd="0" destOrd="0"/>
        <dgm:cxn modelId="15" srcId="1" destId="11" srcOrd="0" destOrd="0"/>
        <dgm:cxn modelId="16" srcId="1" destId="12" srcOrd="1" destOrd="0"/>
        <dgm:cxn modelId="17" srcId="1" destId="13" srcOrd="2"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Name0">
    <dgm:varLst>
      <dgm:chMax val="1"/>
      <dgm:dir/>
      <dgm:animLvl val="ctr"/>
      <dgm:resizeHandles val="exact"/>
    </dgm:varLst>
    <dgm:choose name="Name1">
      <dgm:if name="Name2" func="var" arg="dir" op="equ" val="norm">
        <dgm:choose name="Name3">
          <dgm:if name="Name4" axis="ch ch" ptType="node node" st="1 1" cnt="1 0" func="cnt" op="lte" val="1">
            <dgm:alg type="cycle">
              <dgm:param type="stAng" val="90"/>
              <dgm:param type="spanAng" val="360"/>
              <dgm:param type="ctrShpMap" val="fNode"/>
            </dgm:alg>
          </dgm:if>
          <dgm:else name="Name5">
            <dgm:alg type="cycle">
              <dgm:param type="stAng" val="0"/>
              <dgm:param type="spanAng" val="360"/>
              <dgm:param type="ctrShpMap" val="fNode"/>
            </dgm:alg>
          </dgm:else>
        </dgm:choose>
      </dgm:if>
      <dgm:else name="Name6">
        <dgm:choose name="Name7">
          <dgm:if name="Name8" axis="ch ch" ptType="node node" st="1 1" cnt="1 0" func="cnt" op="lte" val="1">
            <dgm:alg type="cycle">
              <dgm:param type="stAng" val="-90"/>
              <dgm:param type="spanAng" val="360"/>
              <dgm:param type="ctrShpMap" val="fNode"/>
            </dgm:alg>
          </dgm:if>
          <dgm:else name="Name9">
            <dgm:alg type="cycle">
              <dgm:param type="stAng" val="0"/>
              <dgm:param type="spanAng" val="-360"/>
              <dgm:param type="ctrShpMap" val="fNode"/>
            </dgm:alg>
          </dgm:else>
        </dgm:choose>
      </dgm:else>
    </dgm:choose>
    <dgm:shape xmlns:r="http://schemas.openxmlformats.org/officeDocument/2006/relationships" r:blip="">
      <dgm:adjLst/>
    </dgm:shape>
    <dgm:presOf/>
    <dgm:choose name="Name10">
      <dgm:if name="Name11" func="var" arg="dir" op="equ" val="norm">
        <dgm:choose name="Name12">
          <dgm:if name="Name13" axis="ch ch" ptType="node node" st="1 1" cnt="1 0" func="cnt" op="equ" val="1">
            <dgm:constrLst>
              <dgm:constr type="diam" val="170"/>
              <dgm:constr type="w" for="ch" forName="centerShape" refType="w"/>
              <dgm:constr type="w" for="ch" forName="oneComp" refType="w" refFor="ch" refForName="centerShape" op="equ" fact="0.7"/>
              <dgm:constr type="sp" refType="w" refFor="ch" refForName="oneComp" fact="0.3"/>
              <dgm:constr type="sibSp" refType="w" refFor="ch" refForName="oneComp" fact="0.3"/>
              <dgm:constr type="primFontSz" for="ch" forName="centerShape" val="65"/>
              <dgm:constr type="primFontSz" for="des" forName="oneNode" refType="primFontSz" refFor="ch" refForName="centerShape" fact="0.95"/>
              <dgm:constr type="primFontSz" for="des" forName="oneNode" refType="primFontSz" refFor="ch" refForName="centerShape" op="lte" fact="0.95"/>
              <dgm:constr type="diam" for="ch" forName="singleconn" refType="diam" op="equ" fact="-1"/>
              <dgm:constr type="h" for="ch" forName="singleconn" refType="w" refFor="ch" refForName="oneComp" fact="0.24"/>
              <dgm:constr type="w" for="ch" forName="dummya" refType="w" refFor="ch" refForName="oneComp" op="equ"/>
              <dgm:constr type="w" for="ch" forName="dummyb" refType="w" refFor="ch" refForName="oneComp" op="equ"/>
              <dgm:constr type="w" for="ch" forName="dummyc" refType="w" refFor="ch" refForName="oneComp" op="equ"/>
            </dgm:constrLst>
          </dgm:if>
          <dgm:else name="Name14">
            <dgm:constrLst>
              <dgm:constr type="diam" val="170"/>
              <dgm:constr type="w" for="ch" forName="centerShape" refType="w"/>
              <dgm:constr type="w" for="ch" forName="node" refType="w" refFor="ch" refForName="centerShape" op="equ" fact="0.7"/>
              <dgm:constr type="sp" refType="w" refFor="ch" refForName="node" fact="0.3"/>
              <dgm:constr type="sibSp" refType="w" refFor="ch" refForName="node" fact="0.3"/>
              <dgm:constr type="primFontSz" for="ch" forName="centerShape" val="65"/>
              <dgm:constr type="primFontSz" for="des" forName="node" refType="primFontSz" refFor="ch" refForName="centerShape" fact="0.78"/>
              <dgm:constr type="primFontSz" for="ch" forName="node" refType="primFontSz" refFor="ch" refForName="centerShape" op="lte" fact="0.95"/>
              <dgm:constr type="diam" for="ch" forName="sibTrans" refType="diam" op="equ"/>
              <dgm:constr type="h" for="ch" forName="sibTrans" refType="w" refFor="ch" refForName="node" fact="0.24"/>
              <dgm:constr type="w" for="ch" forName="dummy" val="1"/>
            </dgm:constrLst>
          </dgm:else>
        </dgm:choose>
      </dgm:if>
      <dgm:else name="Name15">
        <dgm:choose name="Name16">
          <dgm:if name="Name17" axis="ch ch" ptType="node node" st="1 1" cnt="1 0" func="cnt" op="equ" val="1">
            <dgm:constrLst>
              <dgm:constr type="diam" val="170"/>
              <dgm:constr type="w" for="ch" forName="centerShape" refType="w"/>
              <dgm:constr type="w" for="ch" forName="oneComp" refType="w" refFor="ch" refForName="centerShape" op="equ" fact="0.7"/>
              <dgm:constr type="sp" refType="w" refFor="ch" refForName="oneComp" fact="0.3"/>
              <dgm:constr type="sibSp" refType="w" refFor="ch" refForName="oneComp" fact="0.3"/>
              <dgm:constr type="primFontSz" for="ch" forName="centerShape" val="65"/>
              <dgm:constr type="primFontSz" for="des" forName="oneNode" refType="primFontSz" refFor="ch" refForName="centerShape" fact="0.95"/>
              <dgm:constr type="primFontSz" for="ch" forName="oneNode" refType="primFontSz" refFor="ch" refForName="centerShape" op="lte" fact="0.95"/>
              <dgm:constr type="diam" for="ch" forName="singleconn" refType="diam"/>
              <dgm:constr type="h" for="ch" forName="singleconn" refType="w" refFor="ch" refForName="oneComp" fact="0.24"/>
              <dgm:constr type="diam" for="ch" refType="diam" op="equ"/>
              <dgm:constr type="w" for="ch" forName="dummya" refType="w" refFor="ch" refForName="oneComp" op="equ"/>
              <dgm:constr type="w" for="ch" forName="dummyb" refType="w" refFor="ch" refForName="oneComp" op="equ"/>
              <dgm:constr type="w" for="ch" forName="dummyc" refType="w" refFor="ch" refForName="oneComp" op="equ"/>
            </dgm:constrLst>
          </dgm:if>
          <dgm:else name="Name18">
            <dgm:constrLst>
              <dgm:constr type="diam" val="170"/>
              <dgm:constr type="w" for="ch" forName="centerShape" refType="w"/>
              <dgm:constr type="w" for="ch" forName="node" refType="w" refFor="ch" refForName="centerShape" op="equ" fact="0.7"/>
              <dgm:constr type="sp" refType="w" refFor="ch" refForName="node" fact="0.3"/>
              <dgm:constr type="sibSp" refType="w" refFor="ch" refForName="node" fact="0.3"/>
              <dgm:constr type="primFontSz" for="ch" forName="centerShape" val="65"/>
              <dgm:constr type="primFontSz" for="des" forName="node" refType="primFontSz" refFor="ch" refForName="centerShape" fact="0.78"/>
              <dgm:constr type="primFontSz" for="ch" forName="node" refType="primFontSz" refFor="ch" refForName="centerShape" op="lte" fact="0.95"/>
              <dgm:constr type="diam" for="ch" ptType="sibTrans" refType="diam" fact="-1"/>
              <dgm:constr type="h" for="ch" forName="sibTrans" refType="w" refFor="ch" refForName="node" fact="0.24"/>
              <dgm:constr type="diam" for="ch" refType="diam" op="equ" fact="-1"/>
              <dgm:constr type="w" for="ch" forName="dummy" val="1"/>
            </dgm:constrLst>
          </dgm:else>
        </dgm:choose>
      </dgm:else>
    </dgm:choose>
    <dgm:ruleLst>
      <dgm:rule type="diam" val="INF" fact="NaN" max="NaN"/>
    </dgm:ruleLst>
    <dgm:forEach name="Name19" axis="ch" ptType="node" cnt="1">
      <dgm:layoutNode name="centerShape" styleLbl="node0">
        <dgm:alg type="tx"/>
        <dgm:shape xmlns:r="http://schemas.openxmlformats.org/officeDocument/2006/relationships" type="ellipse" r:blip="">
          <dgm:adjLst/>
        </dgm:shape>
        <dgm:presOf axis="self"/>
        <dgm:constrLst>
          <dgm:constr type="h" refType="w"/>
          <dgm:constr type="tMarg" refType="primFontSz" fact="0.1"/>
          <dgm:constr type="bMarg" refType="primFontSz" fact="0.1"/>
          <dgm:constr type="lMarg" refType="primFontSz" fact="0.1"/>
          <dgm:constr type="rMarg" refType="primFontSz" fact="0.1"/>
        </dgm:constrLst>
        <dgm:ruleLst>
          <dgm:rule type="primFontSz" val="5" fact="NaN" max="NaN"/>
        </dgm:ruleLst>
      </dgm:layoutNode>
      <dgm:forEach name="Name20" axis="ch">
        <dgm:forEach name="Name21" axis="self" ptType="node">
          <dgm:choose name="Name22">
            <dgm:if name="Name23" axis="par ch" ptType="node node" func="cnt" op="gt" val="1">
              <dgm:layoutNode name="node" styleLbl="node1">
                <dgm:varLst>
                  <dgm:bulletEnabled val="1"/>
                </dgm:varLst>
                <dgm:alg type="tx">
                  <dgm:param type="txAnchorVertCh" val="mid"/>
                </dgm:alg>
                <dgm:shape xmlns:r="http://schemas.openxmlformats.org/officeDocument/2006/relationships" type="ellipse" r:blip="">
                  <dgm:adjLst/>
                </dgm:shape>
                <dgm:presOf axis="desOrSelf" ptType="node"/>
                <dgm:constrLst>
                  <dgm:constr type="h" refType="w"/>
                  <dgm:constr type="tMarg" refType="primFontSz" fact="0.1"/>
                  <dgm:constr type="bMarg" refType="primFontSz" fact="0.1"/>
                  <dgm:constr type="lMarg" refType="primFontSz" fact="0.1"/>
                  <dgm:constr type="rMarg" refType="primFontSz" fact="0.1"/>
                </dgm:constrLst>
                <dgm:ruleLst>
                  <dgm:rule type="primFontSz" val="5" fact="NaN" max="NaN"/>
                </dgm:ruleLst>
              </dgm:layoutNode>
              <dgm:layoutNode name="dummy">
                <dgm:alg type="sp"/>
                <dgm:shape xmlns:r="http://schemas.openxmlformats.org/officeDocument/2006/relationships" r:blip="">
                  <dgm:adjLst/>
                </dgm:shape>
                <dgm:presOf/>
                <dgm:constrLst>
                  <dgm:constr type="h" refType="w"/>
                </dgm:constrLst>
                <dgm:ruleLst/>
              </dgm:layoutNode>
              <dgm:forEach name="sibTransForEach" axis="followSib" ptType="sibTrans" hideLastTrans="0" cnt="1">
                <dgm:layoutNode name="sibTrans" styleLbl="sibTrans2D1">
                  <dgm:alg type="conn">
                    <dgm:param type="connRout" val="curve"/>
                    <dgm:param type="begPts" val="ctr"/>
                    <dgm:param type="endPts" val="ctr"/>
                    <dgm:param type="begSty" val="noArr"/>
                    <dgm:param type="endSty" val="noArr"/>
                    <dgm:param type="dstNode" val="node"/>
                  </dgm:alg>
                  <dgm:shape xmlns:r="http://schemas.openxmlformats.org/officeDocument/2006/relationships" type="conn" r:blip="" zOrderOff="-999">
                    <dgm:adjLst/>
                  </dgm:shape>
                  <dgm:presOf axis="self"/>
                  <dgm:constrLst>
                    <dgm:constr type="begPad"/>
                    <dgm:constr type="endPad"/>
                  </dgm:constrLst>
                  <dgm:ruleLst/>
                </dgm:layoutNode>
              </dgm:forEach>
            </dgm:if>
            <dgm:if name="Name24" axis="par ch" ptType="node node" func="cnt" op="equ" val="1">
              <dgm:layoutNode name="oneComp">
                <dgm:alg type="composite">
                  <dgm:param type="ar" val="1"/>
                </dgm:alg>
                <dgm:shape xmlns:r="http://schemas.openxmlformats.org/officeDocument/2006/relationships" r:blip="">
                  <dgm:adjLst/>
                </dgm:shape>
                <dgm:presOf/>
                <dgm:constrLst>
                  <dgm:constr type="h" refType="w"/>
                  <dgm:constr type="l" for="ch" forName="dummyConnPt" refType="w" fact="0.5"/>
                  <dgm:constr type="t" for="ch" forName="dummyConnPt" refType="w" fact="0.5"/>
                  <dgm:constr type="l" for="ch" forName="oneNode"/>
                  <dgm:constr type="t" for="ch" forName="oneNode"/>
                  <dgm:constr type="h" for="ch" forName="oneNode" refType="h"/>
                  <dgm:constr type="w" for="ch" forName="oneNode" refType="w"/>
                </dgm:constrLst>
                <dgm:ruleLst/>
                <dgm:layoutNode name="dummyConnPt" styleLbl="node1">
                  <dgm:alg type="sp"/>
                  <dgm:shape xmlns:r="http://schemas.openxmlformats.org/officeDocument/2006/relationships" r:blip="">
                    <dgm:adjLst/>
                  </dgm:shape>
                  <dgm:presOf/>
                  <dgm:constrLst>
                    <dgm:constr type="w" val="1"/>
                    <dgm:constr type="h" val="1"/>
                  </dgm:constrLst>
                  <dgm:ruleLst/>
                </dgm:layoutNode>
                <dgm:layoutNode name="oneNode" styleLbl="node1">
                  <dgm:varLst>
                    <dgm:bulletEnabled val="1"/>
                  </dgm:varLst>
                  <dgm:alg type="tx">
                    <dgm:param type="txAnchorVertCh" val="mid"/>
                  </dgm:alg>
                  <dgm:shape xmlns:r="http://schemas.openxmlformats.org/officeDocument/2006/relationships" type="ellipse" r:blip="">
                    <dgm:adjLst/>
                  </dgm:shape>
                  <dgm:presOf axis="desOrSelf" ptType="node"/>
                  <dgm:constrLst>
                    <dgm:constr type="h" refType="w"/>
                    <dgm:constr type="tMarg" refType="primFontSz" fact="0.1"/>
                    <dgm:constr type="bMarg" refType="primFontSz" fact="0.1"/>
                    <dgm:constr type="lMarg" refType="primFontSz" fact="0.1"/>
                    <dgm:constr type="rMarg" refType="primFontSz" fact="0.1"/>
                  </dgm:constrLst>
                  <dgm:ruleLst>
                    <dgm:rule type="primFontSz" val="5" fact="NaN" max="NaN"/>
                  </dgm:ruleLst>
                </dgm:layoutNode>
              </dgm:layoutNode>
              <dgm:layoutNode name="dummya">
                <dgm:alg type="sp"/>
                <dgm:shape xmlns:r="http://schemas.openxmlformats.org/officeDocument/2006/relationships" r:blip="">
                  <dgm:adjLst/>
                </dgm:shape>
                <dgm:presOf/>
                <dgm:constrLst>
                  <dgm:constr type="h" refType="w"/>
                </dgm:constrLst>
                <dgm:ruleLst/>
              </dgm:layoutNode>
              <dgm:layoutNode name="dummyb">
                <dgm:alg type="sp"/>
                <dgm:shape xmlns:r="http://schemas.openxmlformats.org/officeDocument/2006/relationships" r:blip="">
                  <dgm:adjLst/>
                </dgm:shape>
                <dgm:presOf/>
                <dgm:constrLst>
                  <dgm:constr type="h" refType="w"/>
                </dgm:constrLst>
                <dgm:ruleLst/>
              </dgm:layoutNode>
              <dgm:layoutNode name="dummyc">
                <dgm:alg type="sp"/>
                <dgm:shape xmlns:r="http://schemas.openxmlformats.org/officeDocument/2006/relationships" r:blip="">
                  <dgm:adjLst/>
                </dgm:shape>
                <dgm:presOf/>
                <dgm:constrLst>
                  <dgm:constr type="h" refType="w"/>
                </dgm:constrLst>
                <dgm:ruleLst/>
              </dgm:layoutNode>
              <dgm:forEach name="sibTransForEach1" axis="followSib" ptType="sibTrans" hideLastTrans="0" cnt="1">
                <dgm:layoutNode name="singleconn" styleLbl="sibTrans2D1">
                  <dgm:alg type="conn">
                    <dgm:param type="connRout" val="longCurve"/>
                    <dgm:param type="begPts" val="bCtr"/>
                    <dgm:param type="endPts" val="tCtr"/>
                    <dgm:param type="begSty" val="noArr"/>
                    <dgm:param type="endSty" val="noArr"/>
                    <dgm:param type="srcNode" val="dummyConnPt"/>
                    <dgm:param type="dstNode" val="dummyConnPt"/>
                  </dgm:alg>
                  <dgm:shape xmlns:r="http://schemas.openxmlformats.org/officeDocument/2006/relationships" type="conn" r:blip="" zOrderOff="-999">
                    <dgm:adjLst/>
                  </dgm:shape>
                  <dgm:presOf axis="self"/>
                  <dgm:constrLst>
                    <dgm:constr type="begPad"/>
                    <dgm:constr type="endPad"/>
                  </dgm:constrLst>
                  <dgm:ruleLst/>
                </dgm:layoutNode>
              </dgm:forEach>
            </dgm:if>
            <dgm:else name="Name25"/>
          </dgm:choos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Layout" Target="../diagrams/layout1.xml"/><Relationship Id="rId7" Type="http://schemas.openxmlformats.org/officeDocument/2006/relationships/image" Target="../media/image3.png"/><Relationship Id="rId2" Type="http://schemas.openxmlformats.org/officeDocument/2006/relationships/diagramData" Target="../diagrams/data1.xml"/><Relationship Id="rId6" Type="http://schemas.microsoft.com/office/2007/relationships/diagramDrawing" Target="../diagrams/drawing1.xml"/><Relationship Id="rId5" Type="http://schemas.openxmlformats.org/officeDocument/2006/relationships/diagramColors" Target="../diagrams/colors1.xml"/><Relationship Id="rId4" Type="http://schemas.openxmlformats.org/officeDocument/2006/relationships/diagramQuickStyle" Target="../diagrams/quickStyle1.xml"/></Relationships>
</file>

<file path=xl/drawings/_rels/drawing3.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4.jpg"/></Relationships>
</file>

<file path=xl/drawings/_rels/drawing5.xml.rels><?xml version="1.0" encoding="UTF-8" standalone="yes"?>
<Relationships xmlns="http://schemas.openxmlformats.org/package/2006/relationships"><Relationship Id="rId1" Type="http://schemas.openxmlformats.org/officeDocument/2006/relationships/image" Target="../media/image4.jpg"/></Relationships>
</file>

<file path=xl/drawings/_rels/drawing6.xml.rels><?xml version="1.0" encoding="UTF-8" standalone="yes"?>
<Relationships xmlns="http://schemas.openxmlformats.org/package/2006/relationships"><Relationship Id="rId1" Type="http://schemas.openxmlformats.org/officeDocument/2006/relationships/image" Target="../media/image4.jpg"/></Relationships>
</file>

<file path=xl/drawings/_rels/drawing7.xml.rels><?xml version="1.0" encoding="UTF-8" standalone="yes"?>
<Relationships xmlns="http://schemas.openxmlformats.org/package/2006/relationships"><Relationship Id="rId1" Type="http://schemas.openxmlformats.org/officeDocument/2006/relationships/image" Target="../media/image4.jpg"/></Relationships>
</file>

<file path=xl/drawings/_rels/drawing8.xml.rels><?xml version="1.0" encoding="UTF-8" standalone="yes"?>
<Relationships xmlns="http://schemas.openxmlformats.org/package/2006/relationships"><Relationship Id="rId1" Type="http://schemas.openxmlformats.org/officeDocument/2006/relationships/image" Target="../media/image4.jpg"/></Relationships>
</file>

<file path=xl/drawings/_rels/drawing9.xml.rels><?xml version="1.0" encoding="UTF-8" standalone="yes"?>
<Relationships xmlns="http://schemas.openxmlformats.org/package/2006/relationships"><Relationship Id="rId1" Type="http://schemas.openxmlformats.org/officeDocument/2006/relationships/image" Target="../media/image4.jp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g"/></Relationships>
</file>

<file path=xl/drawings/_rels/drawing11.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chart" Target="../charts/chart2.xml"/></Relationships>
</file>

<file path=xl/drawings/_rels/drawing12.xml.rels><?xml version="1.0" encoding="UTF-8" standalone="yes"?>
<Relationships xmlns="http://schemas.openxmlformats.org/package/2006/relationships"><Relationship Id="rId1" Type="http://schemas.openxmlformats.org/officeDocument/2006/relationships/image" Target="../media/image4.jp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g"/></Relationships>
</file>

<file path=xl/drawings/_rels/drawing1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oneCellAnchor>
    <xdr:from>
      <xdr:col>2</xdr:col>
      <xdr:colOff>0</xdr:colOff>
      <xdr:row>1</xdr:row>
      <xdr:rowOff>171450</xdr:rowOff>
    </xdr:from>
    <xdr:ext cx="2057400" cy="1085850"/>
    <xdr:pic>
      <xdr:nvPicPr>
        <xdr:cNvPr id="2" name="image2.png">
          <a:extLst>
            <a:ext uri="{FF2B5EF4-FFF2-40B4-BE49-F238E27FC236}">
              <a16:creationId xmlns:a16="http://schemas.microsoft.com/office/drawing/2014/main" id="{03DDD1A3-5086-4526-8F8C-0CCC20B6BE5C}"/>
            </a:ext>
          </a:extLst>
        </xdr:cNvPr>
        <xdr:cNvPicPr preferRelativeResize="0"/>
      </xdr:nvPicPr>
      <xdr:blipFill>
        <a:blip xmlns:r="http://schemas.openxmlformats.org/officeDocument/2006/relationships" r:embed="rId1" cstate="print"/>
        <a:stretch>
          <a:fillRect/>
        </a:stretch>
      </xdr:blipFill>
      <xdr:spPr>
        <a:xfrm>
          <a:off x="2019300" y="355600"/>
          <a:ext cx="2057400" cy="1085850"/>
        </a:xfrm>
        <a:prstGeom prst="rect">
          <a:avLst/>
        </a:prstGeom>
        <a:noFill/>
      </xdr:spPr>
    </xdr:pic>
    <xdr:clientData fLocksWithSheet="0"/>
  </xdr:oneCellAnchor>
  <xdr:oneCellAnchor>
    <xdr:from>
      <xdr:col>2</xdr:col>
      <xdr:colOff>0</xdr:colOff>
      <xdr:row>20</xdr:row>
      <xdr:rowOff>0</xdr:rowOff>
    </xdr:from>
    <xdr:ext cx="771525" cy="600075"/>
    <xdr:pic>
      <xdr:nvPicPr>
        <xdr:cNvPr id="3" name="image1.jpg">
          <a:extLst>
            <a:ext uri="{FF2B5EF4-FFF2-40B4-BE49-F238E27FC236}">
              <a16:creationId xmlns:a16="http://schemas.microsoft.com/office/drawing/2014/main" id="{ED5BD1A4-D717-42B6-9053-27BBB7C3E794}"/>
            </a:ext>
          </a:extLst>
        </xdr:cNvPr>
        <xdr:cNvPicPr preferRelativeResize="0"/>
      </xdr:nvPicPr>
      <xdr:blipFill>
        <a:blip xmlns:r="http://schemas.openxmlformats.org/officeDocument/2006/relationships" r:embed="rId2" cstate="print"/>
        <a:stretch>
          <a:fillRect/>
        </a:stretch>
      </xdr:blipFill>
      <xdr:spPr>
        <a:xfrm>
          <a:off x="2019300" y="3867150"/>
          <a:ext cx="771525" cy="6000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xdr:row>
      <xdr:rowOff>171450</xdr:rowOff>
    </xdr:from>
    <xdr:ext cx="2057400" cy="1152525"/>
    <xdr:pic>
      <xdr:nvPicPr>
        <xdr:cNvPr id="2" name="image3.png">
          <a:extLst>
            <a:ext uri="{FF2B5EF4-FFF2-40B4-BE49-F238E27FC236}">
              <a16:creationId xmlns:a16="http://schemas.microsoft.com/office/drawing/2014/main" id="{C315E968-E25B-4722-A0F1-638F3BF8694F}"/>
            </a:ext>
          </a:extLst>
        </xdr:cNvPr>
        <xdr:cNvPicPr preferRelativeResize="0"/>
      </xdr:nvPicPr>
      <xdr:blipFill>
        <a:blip xmlns:r="http://schemas.openxmlformats.org/officeDocument/2006/relationships" r:embed="rId7" cstate="print"/>
        <a:stretch>
          <a:fillRect/>
        </a:stretch>
      </xdr:blipFill>
      <xdr:spPr>
        <a:xfrm>
          <a:off x="1003300" y="596900"/>
          <a:ext cx="2057400" cy="1152525"/>
        </a:xfrm>
        <a:prstGeom prst="rect">
          <a:avLst/>
        </a:prstGeom>
        <a:noFill/>
      </xdr:spPr>
    </xdr:pic>
    <xdr:clientData fLocksWithSheet="0"/>
  </xdr:oneCellAnchor>
  <xdr:twoCellAnchor>
    <xdr:from>
      <xdr:col>8</xdr:col>
      <xdr:colOff>127000</xdr:colOff>
      <xdr:row>52</xdr:row>
      <xdr:rowOff>381000</xdr:rowOff>
    </xdr:from>
    <xdr:to>
      <xdr:col>16</xdr:col>
      <xdr:colOff>352879</xdr:colOff>
      <xdr:row>63</xdr:row>
      <xdr:rowOff>17741</xdr:rowOff>
    </xdr:to>
    <xdr:graphicFrame macro="">
      <xdr:nvGraphicFramePr>
        <xdr:cNvPr id="3" name="Diagram 2">
          <a:extLst>
            <a:ext uri="{FF2B5EF4-FFF2-40B4-BE49-F238E27FC236}">
              <a16:creationId xmlns:a16="http://schemas.microsoft.com/office/drawing/2014/main" id="{F6A28C59-ACAD-4D4E-89D8-BD216650A7F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9</xdr:col>
      <xdr:colOff>370357</xdr:colOff>
      <xdr:row>27</xdr:row>
      <xdr:rowOff>159552</xdr:rowOff>
    </xdr:from>
    <xdr:to>
      <xdr:col>12</xdr:col>
      <xdr:colOff>1161665</xdr:colOff>
      <xdr:row>42</xdr:row>
      <xdr:rowOff>118521</xdr:rowOff>
    </xdr:to>
    <xdr:graphicFrame macro="">
      <xdr:nvGraphicFramePr>
        <xdr:cNvPr id="2" name="Chart 1">
          <a:extLst>
            <a:ext uri="{FF2B5EF4-FFF2-40B4-BE49-F238E27FC236}">
              <a16:creationId xmlns:a16="http://schemas.microsoft.com/office/drawing/2014/main" id="{71203C3C-C484-8CB4-D56E-971CECE80B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173869</xdr:colOff>
      <xdr:row>0</xdr:row>
      <xdr:rowOff>15119</xdr:rowOff>
    </xdr:from>
    <xdr:ext cx="2295622" cy="465667"/>
    <xdr:pic>
      <xdr:nvPicPr>
        <xdr:cNvPr id="4" name="image4.jpg">
          <a:extLst>
            <a:ext uri="{FF2B5EF4-FFF2-40B4-BE49-F238E27FC236}">
              <a16:creationId xmlns:a16="http://schemas.microsoft.com/office/drawing/2014/main" id="{E33B3A92-1687-413E-ACB0-643ECB64F113}"/>
            </a:ext>
          </a:extLst>
        </xdr:cNvPr>
        <xdr:cNvPicPr preferRelativeResize="0"/>
      </xdr:nvPicPr>
      <xdr:blipFill>
        <a:blip xmlns:r="http://schemas.openxmlformats.org/officeDocument/2006/relationships" r:embed="rId2" cstate="print"/>
        <a:stretch>
          <a:fillRect/>
        </a:stretch>
      </xdr:blipFill>
      <xdr:spPr>
        <a:xfrm>
          <a:off x="423333" y="15119"/>
          <a:ext cx="2295622" cy="465667"/>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127000</xdr:colOff>
      <xdr:row>0</xdr:row>
      <xdr:rowOff>84667</xdr:rowOff>
    </xdr:from>
    <xdr:ext cx="2295622" cy="465667"/>
    <xdr:pic>
      <xdr:nvPicPr>
        <xdr:cNvPr id="6" name="image4.jpg">
          <a:extLst>
            <a:ext uri="{FF2B5EF4-FFF2-40B4-BE49-F238E27FC236}">
              <a16:creationId xmlns:a16="http://schemas.microsoft.com/office/drawing/2014/main" id="{FAAE6959-C9E7-4D9E-A58F-A670A4985DB3}"/>
            </a:ext>
          </a:extLst>
        </xdr:cNvPr>
        <xdr:cNvPicPr preferRelativeResize="0"/>
      </xdr:nvPicPr>
      <xdr:blipFill>
        <a:blip xmlns:r="http://schemas.openxmlformats.org/officeDocument/2006/relationships" r:embed="rId1" cstate="print"/>
        <a:stretch>
          <a:fillRect/>
        </a:stretch>
      </xdr:blipFill>
      <xdr:spPr>
        <a:xfrm>
          <a:off x="127000" y="84667"/>
          <a:ext cx="2295622" cy="465667"/>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186151</xdr:colOff>
      <xdr:row>0</xdr:row>
      <xdr:rowOff>34795</xdr:rowOff>
    </xdr:from>
    <xdr:ext cx="2762685" cy="487123"/>
    <xdr:pic>
      <xdr:nvPicPr>
        <xdr:cNvPr id="4" name="image4.jpg">
          <a:extLst>
            <a:ext uri="{FF2B5EF4-FFF2-40B4-BE49-F238E27FC236}">
              <a16:creationId xmlns:a16="http://schemas.microsoft.com/office/drawing/2014/main" id="{E46AFED1-20A5-4E99-9581-4FE23FABF081}"/>
            </a:ext>
          </a:extLst>
        </xdr:cNvPr>
        <xdr:cNvPicPr preferRelativeResize="0"/>
      </xdr:nvPicPr>
      <xdr:blipFill>
        <a:blip xmlns:r="http://schemas.openxmlformats.org/officeDocument/2006/relationships" r:embed="rId1" cstate="print"/>
        <a:stretch>
          <a:fillRect/>
        </a:stretch>
      </xdr:blipFill>
      <xdr:spPr>
        <a:xfrm>
          <a:off x="186151" y="34795"/>
          <a:ext cx="2762685" cy="487123"/>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14592</xdr:colOff>
      <xdr:row>0</xdr:row>
      <xdr:rowOff>0</xdr:rowOff>
    </xdr:from>
    <xdr:ext cx="2343014" cy="506649"/>
    <xdr:pic>
      <xdr:nvPicPr>
        <xdr:cNvPr id="3" name="image4.jpg">
          <a:extLst>
            <a:ext uri="{FF2B5EF4-FFF2-40B4-BE49-F238E27FC236}">
              <a16:creationId xmlns:a16="http://schemas.microsoft.com/office/drawing/2014/main" id="{61EB53FB-AE34-48DC-AB51-88EF33F1E40B}"/>
            </a:ext>
          </a:extLst>
        </xdr:cNvPr>
        <xdr:cNvPicPr preferRelativeResize="0"/>
      </xdr:nvPicPr>
      <xdr:blipFill>
        <a:blip xmlns:r="http://schemas.openxmlformats.org/officeDocument/2006/relationships" r:embed="rId1" cstate="print"/>
        <a:stretch>
          <a:fillRect/>
        </a:stretch>
      </xdr:blipFill>
      <xdr:spPr>
        <a:xfrm>
          <a:off x="14592" y="0"/>
          <a:ext cx="2343014" cy="506649"/>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0</xdr:row>
      <xdr:rowOff>0</xdr:rowOff>
    </xdr:from>
    <xdr:ext cx="2346325" cy="508000"/>
    <xdr:pic>
      <xdr:nvPicPr>
        <xdr:cNvPr id="7" name="image4.jpg">
          <a:extLst>
            <a:ext uri="{FF2B5EF4-FFF2-40B4-BE49-F238E27FC236}">
              <a16:creationId xmlns:a16="http://schemas.microsoft.com/office/drawing/2014/main" id="{F3858CC2-7F7F-484C-8C1B-E0575862FFF7}"/>
            </a:ext>
          </a:extLst>
        </xdr:cNvPr>
        <xdr:cNvPicPr preferRelativeResize="0"/>
      </xdr:nvPicPr>
      <xdr:blipFill>
        <a:blip xmlns:r="http://schemas.openxmlformats.org/officeDocument/2006/relationships" r:embed="rId1" cstate="print"/>
        <a:stretch>
          <a:fillRect/>
        </a:stretch>
      </xdr:blipFill>
      <xdr:spPr>
        <a:xfrm>
          <a:off x="114300" y="0"/>
          <a:ext cx="2346325" cy="5080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165806</xdr:colOff>
      <xdr:row>0</xdr:row>
      <xdr:rowOff>21167</xdr:rowOff>
    </xdr:from>
    <xdr:ext cx="2099027" cy="515056"/>
    <xdr:pic>
      <xdr:nvPicPr>
        <xdr:cNvPr id="8" name="image4.jpg">
          <a:extLst>
            <a:ext uri="{FF2B5EF4-FFF2-40B4-BE49-F238E27FC236}">
              <a16:creationId xmlns:a16="http://schemas.microsoft.com/office/drawing/2014/main" id="{125ADE43-59A6-4B27-9D0F-E114361487AD}"/>
            </a:ext>
          </a:extLst>
        </xdr:cNvPr>
        <xdr:cNvPicPr preferRelativeResize="0"/>
      </xdr:nvPicPr>
      <xdr:blipFill>
        <a:blip xmlns:r="http://schemas.openxmlformats.org/officeDocument/2006/relationships" r:embed="rId1" cstate="print"/>
        <a:stretch>
          <a:fillRect/>
        </a:stretch>
      </xdr:blipFill>
      <xdr:spPr>
        <a:xfrm>
          <a:off x="165806" y="21167"/>
          <a:ext cx="2099027" cy="515056"/>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12701</xdr:colOff>
      <xdr:row>0</xdr:row>
      <xdr:rowOff>57150</xdr:rowOff>
    </xdr:from>
    <xdr:ext cx="1962149" cy="482600"/>
    <xdr:pic>
      <xdr:nvPicPr>
        <xdr:cNvPr id="6" name="image4.jpg">
          <a:extLst>
            <a:ext uri="{FF2B5EF4-FFF2-40B4-BE49-F238E27FC236}">
              <a16:creationId xmlns:a16="http://schemas.microsoft.com/office/drawing/2014/main" id="{C6BDC597-352E-491E-976D-2E52E8B48787}"/>
            </a:ext>
          </a:extLst>
        </xdr:cNvPr>
        <xdr:cNvPicPr preferRelativeResize="0"/>
      </xdr:nvPicPr>
      <xdr:blipFill>
        <a:blip xmlns:r="http://schemas.openxmlformats.org/officeDocument/2006/relationships" r:embed="rId1" cstate="print"/>
        <a:stretch>
          <a:fillRect/>
        </a:stretch>
      </xdr:blipFill>
      <xdr:spPr>
        <a:xfrm>
          <a:off x="260351" y="57150"/>
          <a:ext cx="1962149" cy="4826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190501</xdr:colOff>
      <xdr:row>0</xdr:row>
      <xdr:rowOff>23091</xdr:rowOff>
    </xdr:from>
    <xdr:ext cx="2366817" cy="502227"/>
    <xdr:pic>
      <xdr:nvPicPr>
        <xdr:cNvPr id="7" name="image4.jpg">
          <a:extLst>
            <a:ext uri="{FF2B5EF4-FFF2-40B4-BE49-F238E27FC236}">
              <a16:creationId xmlns:a16="http://schemas.microsoft.com/office/drawing/2014/main" id="{E027540A-4221-4F54-8180-C77EAD2E7F8A}"/>
            </a:ext>
          </a:extLst>
        </xdr:cNvPr>
        <xdr:cNvPicPr preferRelativeResize="0"/>
      </xdr:nvPicPr>
      <xdr:blipFill>
        <a:blip xmlns:r="http://schemas.openxmlformats.org/officeDocument/2006/relationships" r:embed="rId1" cstate="print"/>
        <a:stretch>
          <a:fillRect/>
        </a:stretch>
      </xdr:blipFill>
      <xdr:spPr>
        <a:xfrm>
          <a:off x="190501" y="23091"/>
          <a:ext cx="2366817" cy="502227"/>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twoCellAnchor>
    <xdr:from>
      <xdr:col>11</xdr:col>
      <xdr:colOff>912090</xdr:colOff>
      <xdr:row>37</xdr:row>
      <xdr:rowOff>8082</xdr:rowOff>
    </xdr:from>
    <xdr:to>
      <xdr:col>17</xdr:col>
      <xdr:colOff>288636</xdr:colOff>
      <xdr:row>51</xdr:row>
      <xdr:rowOff>165100</xdr:rowOff>
    </xdr:to>
    <xdr:graphicFrame macro="">
      <xdr:nvGraphicFramePr>
        <xdr:cNvPr id="2" name="Chart 1">
          <a:extLst>
            <a:ext uri="{FF2B5EF4-FFF2-40B4-BE49-F238E27FC236}">
              <a16:creationId xmlns:a16="http://schemas.microsoft.com/office/drawing/2014/main" id="{93E8E896-A23D-0D06-0E78-DD52F24DCD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23091</xdr:colOff>
      <xdr:row>0</xdr:row>
      <xdr:rowOff>40409</xdr:rowOff>
    </xdr:from>
    <xdr:ext cx="2193637" cy="502227"/>
    <xdr:pic>
      <xdr:nvPicPr>
        <xdr:cNvPr id="7" name="image4.jpg">
          <a:extLst>
            <a:ext uri="{FF2B5EF4-FFF2-40B4-BE49-F238E27FC236}">
              <a16:creationId xmlns:a16="http://schemas.microsoft.com/office/drawing/2014/main" id="{5314FE61-FECD-44BB-9638-1D51FC980DAF}"/>
            </a:ext>
          </a:extLst>
        </xdr:cNvPr>
        <xdr:cNvPicPr preferRelativeResize="0"/>
      </xdr:nvPicPr>
      <xdr:blipFill>
        <a:blip xmlns:r="http://schemas.openxmlformats.org/officeDocument/2006/relationships" r:embed="rId2" cstate="print"/>
        <a:stretch>
          <a:fillRect/>
        </a:stretch>
      </xdr:blipFill>
      <xdr:spPr>
        <a:xfrm>
          <a:off x="23091" y="40409"/>
          <a:ext cx="2193637" cy="502227"/>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1</xdr:col>
      <xdr:colOff>254001</xdr:colOff>
      <xdr:row>0</xdr:row>
      <xdr:rowOff>0</xdr:rowOff>
    </xdr:from>
    <xdr:ext cx="1961443" cy="529166"/>
    <xdr:pic>
      <xdr:nvPicPr>
        <xdr:cNvPr id="6" name="image4.jpg">
          <a:extLst>
            <a:ext uri="{FF2B5EF4-FFF2-40B4-BE49-F238E27FC236}">
              <a16:creationId xmlns:a16="http://schemas.microsoft.com/office/drawing/2014/main" id="{77E85ECA-EFEC-4B21-8B06-5908CBE6D554}"/>
            </a:ext>
          </a:extLst>
        </xdr:cNvPr>
        <xdr:cNvPicPr preferRelativeResize="0"/>
      </xdr:nvPicPr>
      <xdr:blipFill>
        <a:blip xmlns:r="http://schemas.openxmlformats.org/officeDocument/2006/relationships" r:embed="rId1" cstate="print"/>
        <a:stretch>
          <a:fillRect/>
        </a:stretch>
      </xdr:blipFill>
      <xdr:spPr>
        <a:xfrm>
          <a:off x="500945" y="0"/>
          <a:ext cx="1961443" cy="529166"/>
        </a:xfrm>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152978</xdr:colOff>
      <xdr:row>0</xdr:row>
      <xdr:rowOff>0</xdr:rowOff>
    </xdr:from>
    <xdr:ext cx="1977159" cy="496455"/>
    <xdr:pic>
      <xdr:nvPicPr>
        <xdr:cNvPr id="7" name="image4.jpg">
          <a:extLst>
            <a:ext uri="{FF2B5EF4-FFF2-40B4-BE49-F238E27FC236}">
              <a16:creationId xmlns:a16="http://schemas.microsoft.com/office/drawing/2014/main" id="{B5207E09-AA05-4953-9FE3-B6150196BA8B}"/>
            </a:ext>
          </a:extLst>
        </xdr:cNvPr>
        <xdr:cNvPicPr preferRelativeResize="0"/>
      </xdr:nvPicPr>
      <xdr:blipFill>
        <a:blip xmlns:r="http://schemas.openxmlformats.org/officeDocument/2006/relationships" r:embed="rId1" cstate="print"/>
        <a:stretch>
          <a:fillRect/>
        </a:stretch>
      </xdr:blipFill>
      <xdr:spPr>
        <a:xfrm>
          <a:off x="152978" y="0"/>
          <a:ext cx="1977159" cy="496455"/>
        </a:xfrm>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xdr:col>
      <xdr:colOff>50801</xdr:colOff>
      <xdr:row>0</xdr:row>
      <xdr:rowOff>0</xdr:rowOff>
    </xdr:from>
    <xdr:ext cx="2051049" cy="514350"/>
    <xdr:pic>
      <xdr:nvPicPr>
        <xdr:cNvPr id="7" name="image4.jpg">
          <a:extLst>
            <a:ext uri="{FF2B5EF4-FFF2-40B4-BE49-F238E27FC236}">
              <a16:creationId xmlns:a16="http://schemas.microsoft.com/office/drawing/2014/main" id="{E0152FD6-4EF7-4141-90BF-DDB21CB3AE99}"/>
            </a:ext>
          </a:extLst>
        </xdr:cNvPr>
        <xdr:cNvPicPr preferRelativeResize="0"/>
      </xdr:nvPicPr>
      <xdr:blipFill>
        <a:blip xmlns:r="http://schemas.openxmlformats.org/officeDocument/2006/relationships" r:embed="rId1" cstate="print"/>
        <a:stretch>
          <a:fillRect/>
        </a:stretch>
      </xdr:blipFill>
      <xdr:spPr>
        <a:xfrm>
          <a:off x="298451" y="0"/>
          <a:ext cx="2051049" cy="514350"/>
        </a:xfrm>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twoCellAnchor>
    <xdr:from>
      <xdr:col>11</xdr:col>
      <xdr:colOff>312965</xdr:colOff>
      <xdr:row>14</xdr:row>
      <xdr:rowOff>131309</xdr:rowOff>
    </xdr:from>
    <xdr:to>
      <xdr:col>17</xdr:col>
      <xdr:colOff>312965</xdr:colOff>
      <xdr:row>31</xdr:row>
      <xdr:rowOff>125865</xdr:rowOff>
    </xdr:to>
    <xdr:graphicFrame macro="">
      <xdr:nvGraphicFramePr>
        <xdr:cNvPr id="2" name="Chart 1">
          <a:extLst>
            <a:ext uri="{FF2B5EF4-FFF2-40B4-BE49-F238E27FC236}">
              <a16:creationId xmlns:a16="http://schemas.microsoft.com/office/drawing/2014/main" id="{088AE4D6-D364-4E93-80CD-181CB6D203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437468</xdr:colOff>
      <xdr:row>14</xdr:row>
      <xdr:rowOff>136749</xdr:rowOff>
    </xdr:from>
    <xdr:to>
      <xdr:col>11</xdr:col>
      <xdr:colOff>40822</xdr:colOff>
      <xdr:row>31</xdr:row>
      <xdr:rowOff>122464</xdr:rowOff>
    </xdr:to>
    <xdr:graphicFrame macro="">
      <xdr:nvGraphicFramePr>
        <xdr:cNvPr id="3" name="Chart 2">
          <a:extLst>
            <a:ext uri="{FF2B5EF4-FFF2-40B4-BE49-F238E27FC236}">
              <a16:creationId xmlns:a16="http://schemas.microsoft.com/office/drawing/2014/main" id="{901CC1AE-4CF3-4CA5-A2E7-6B3548077B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68603</xdr:colOff>
      <xdr:row>14</xdr:row>
      <xdr:rowOff>137136</xdr:rowOff>
    </xdr:from>
    <xdr:to>
      <xdr:col>3</xdr:col>
      <xdr:colOff>816429</xdr:colOff>
      <xdr:row>31</xdr:row>
      <xdr:rowOff>95250</xdr:rowOff>
    </xdr:to>
    <xdr:graphicFrame macro="">
      <xdr:nvGraphicFramePr>
        <xdr:cNvPr id="4" name="Chart 3">
          <a:extLst>
            <a:ext uri="{FF2B5EF4-FFF2-40B4-BE49-F238E27FC236}">
              <a16:creationId xmlns:a16="http://schemas.microsoft.com/office/drawing/2014/main" id="{48908866-A9B5-45F9-9D14-BCBA8D629E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429758</xdr:colOff>
      <xdr:row>33</xdr:row>
      <xdr:rowOff>0</xdr:rowOff>
    </xdr:from>
    <xdr:to>
      <xdr:col>11</xdr:col>
      <xdr:colOff>40822</xdr:colOff>
      <xdr:row>50</xdr:row>
      <xdr:rowOff>54429</xdr:rowOff>
    </xdr:to>
    <xdr:graphicFrame macro="">
      <xdr:nvGraphicFramePr>
        <xdr:cNvPr id="5" name="Chart 4">
          <a:extLst>
            <a:ext uri="{FF2B5EF4-FFF2-40B4-BE49-F238E27FC236}">
              <a16:creationId xmlns:a16="http://schemas.microsoft.com/office/drawing/2014/main" id="{D52CF230-4346-0724-2639-D2C8E177AD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89581</xdr:colOff>
      <xdr:row>32</xdr:row>
      <xdr:rowOff>163286</xdr:rowOff>
    </xdr:from>
    <xdr:to>
      <xdr:col>3</xdr:col>
      <xdr:colOff>830036</xdr:colOff>
      <xdr:row>50</xdr:row>
      <xdr:rowOff>95249</xdr:rowOff>
    </xdr:to>
    <xdr:graphicFrame macro="">
      <xdr:nvGraphicFramePr>
        <xdr:cNvPr id="6" name="Chart 5">
          <a:extLst>
            <a:ext uri="{FF2B5EF4-FFF2-40B4-BE49-F238E27FC236}">
              <a16:creationId xmlns:a16="http://schemas.microsoft.com/office/drawing/2014/main" id="{4310C818-F105-2DEA-ADD5-82401F4488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Marco Peretto" id="{0EB43F6D-158A-417D-BB35-7B33B6D765A7}" userId="S::marco@IEECP.ORG::ceefcf36-143d-4a9c-b6eb-d88de1f0215c" providerId="AD"/>
</personList>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9" dT="2025-01-17T11:50:49.65" personId="{0EB43F6D-158A-417D-BB35-7B33B6D765A7}" id="{71CECA76-B24A-49D7-BF87-686CD5F6422A}">
    <text>In W. Macedonia it’s 60%</text>
  </threadedComment>
</ThreadedComments>
</file>

<file path=xl/threadedComments/threadedComment2.xml><?xml version="1.0" encoding="utf-8"?>
<ThreadedComments xmlns="http://schemas.microsoft.com/office/spreadsheetml/2018/threadedcomments" xmlns:x="http://schemas.openxmlformats.org/spreadsheetml/2006/main">
  <threadedComment ref="C83" dT="2024-10-22T13:30:16.42" personId="{0EB43F6D-158A-417D-BB35-7B33B6D765A7}" id="{51236AA3-B352-4F08-9623-FC19434AD336}">
    <text>https://europa.eu/youreurope/business/taxation/vat/vat-rules-rates/index_en.htm</text>
    <extLst>
      <x:ext xmlns:xltc2="http://schemas.microsoft.com/office/spreadsheetml/2020/threadedcomments2" uri="{F7C98A9C-CBB3-438F-8F68-D28B6AF4A901}">
        <xltc2:checksum>329837193</xltc2:checksum>
        <xltc2:hyperlink startIndex="0" length="79" url="https://europa.eu/youreurope/business/taxation/vat/vat-rules-rates/index_en.htm"/>
      </x:ext>
    </extLst>
  </threadedComment>
</ThreadedComments>
</file>

<file path=xl/threadedComments/threadedComment3.xml><?xml version="1.0" encoding="utf-8"?>
<ThreadedComments xmlns="http://schemas.microsoft.com/office/spreadsheetml/2018/threadedcomments" xmlns:x="http://schemas.openxmlformats.org/spreadsheetml/2006/main">
  <threadedComment ref="C79" dT="2024-10-22T13:30:16.42" personId="{0EB43F6D-158A-417D-BB35-7B33B6D765A7}" id="{A10C50CB-B202-46F2-B27A-F1366FF82FA8}">
    <text>https://europa.eu/youreurope/business/taxation/vat/vat-rules-rates/index_en.htm</text>
    <extLst>
      <x:ext xmlns:xltc2="http://schemas.microsoft.com/office/spreadsheetml/2020/threadedcomments2" uri="{F7C98A9C-CBB3-438F-8F68-D28B6AF4A901}">
        <xltc2:checksum>329837193</xltc2:checksum>
        <xltc2:hyperlink startIndex="0" length="79" url="https://europa.eu/youreurope/business/taxation/vat/vat-rules-rates/index_en.htm"/>
      </x:ext>
    </extLst>
  </threadedComment>
</ThreadedComments>
</file>

<file path=xl/threadedComments/threadedComment4.xml><?xml version="1.0" encoding="utf-8"?>
<ThreadedComments xmlns="http://schemas.microsoft.com/office/spreadsheetml/2018/threadedcomments" xmlns:x="http://schemas.openxmlformats.org/spreadsheetml/2006/main">
  <threadedComment ref="C79" dT="2024-10-22T13:30:16.42" personId="{0EB43F6D-158A-417D-BB35-7B33B6D765A7}" id="{5A6C949B-02F6-4A47-A8C6-914FD3192FB3}">
    <text>https://europa.eu/youreurope/business/taxation/vat/vat-rules-rates/index_en.htm</text>
    <extLst>
      <x:ext xmlns:xltc2="http://schemas.microsoft.com/office/spreadsheetml/2020/threadedcomments2" uri="{F7C98A9C-CBB3-438F-8F68-D28B6AF4A901}">
        <xltc2:checksum>329837193</xltc2:checksum>
        <xltc2:hyperlink startIndex="0" length="79" url="https://europa.eu/youreurope/business/taxation/vat/vat-rules-rates/index_en.htm"/>
      </x:ext>
    </extLst>
  </threadedComment>
</ThreadedComments>
</file>

<file path=xl/threadedComments/threadedComment5.xml><?xml version="1.0" encoding="utf-8"?>
<ThreadedComments xmlns="http://schemas.microsoft.com/office/spreadsheetml/2018/threadedcomments" xmlns:x="http://schemas.openxmlformats.org/spreadsheetml/2006/main">
  <threadedComment ref="C79" dT="2024-10-22T13:30:16.42" personId="{0EB43F6D-158A-417D-BB35-7B33B6D765A7}" id="{5F44354F-E896-48CE-8F09-1FC957042CF7}">
    <text>https://europa.eu/youreurope/business/taxation/vat/vat-rules-rates/index_en.htm</text>
    <extLst>
      <x:ext xmlns:xltc2="http://schemas.microsoft.com/office/spreadsheetml/2020/threadedcomments2" uri="{F7C98A9C-CBB3-438F-8F68-D28B6AF4A901}">
        <xltc2:checksum>329837193</xltc2:checksum>
        <xltc2:hyperlink startIndex="0" length="79" url="https://europa.eu/youreurope/business/taxation/vat/vat-rules-rates/index_en.htm"/>
      </x:ext>
    </extLst>
  </threadedComment>
</ThreadedComments>
</file>

<file path=xl/threadedComments/threadedComment6.xml><?xml version="1.0" encoding="utf-8"?>
<ThreadedComments xmlns="http://schemas.microsoft.com/office/spreadsheetml/2018/threadedcomments" xmlns:x="http://schemas.openxmlformats.org/spreadsheetml/2006/main">
  <threadedComment ref="C54" dT="2024-10-22T13:30:16.42" personId="{0EB43F6D-158A-417D-BB35-7B33B6D765A7}" id="{E9F8A7FE-A0EB-43F6-9761-BBDFF5E4FD76}">
    <text>https://europa.eu/youreurope/business/taxation/vat/vat-rules-rates/index_en.htm</text>
    <extLst>
      <x:ext xmlns:xltc2="http://schemas.microsoft.com/office/spreadsheetml/2020/threadedcomments2" uri="{F7C98A9C-CBB3-438F-8F68-D28B6AF4A901}">
        <xltc2:checksum>329837193</xltc2:checksum>
        <xltc2:hyperlink startIndex="0" length="79" url="https://europa.eu/youreurope/business/taxation/vat/vat-rules-rates/index_en.htm"/>
      </x:ext>
    </extLst>
  </threadedComment>
</ThreadedComments>
</file>

<file path=xl/threadedComments/threadedComment7.xml><?xml version="1.0" encoding="utf-8"?>
<ThreadedComments xmlns="http://schemas.microsoft.com/office/spreadsheetml/2018/threadedcomments" xmlns:x="http://schemas.openxmlformats.org/spreadsheetml/2006/main">
  <threadedComment ref="C54" dT="2024-10-22T13:30:16.42" personId="{0EB43F6D-158A-417D-BB35-7B33B6D765A7}" id="{31F29026-A75B-47EF-9443-65F0F5F8E664}">
    <text>https://europa.eu/youreurope/business/taxation/vat/vat-rules-rates/index_en.htm</text>
    <extLst>
      <x:ext xmlns:xltc2="http://schemas.microsoft.com/office/spreadsheetml/2020/threadedcomments2" uri="{F7C98A9C-CBB3-438F-8F68-D28B6AF4A901}">
        <xltc2:checksum>329837193</xltc2:checksum>
        <xltc2:hyperlink startIndex="0" length="79" url="https://europa.eu/youreurope/business/taxation/vat/vat-rules-rates/index_en.htm"/>
      </x:ext>
    </extLst>
  </threadedComment>
</ThreadedComments>
</file>

<file path=xl/threadedComments/threadedComment8.xml><?xml version="1.0" encoding="utf-8"?>
<ThreadedComments xmlns="http://schemas.microsoft.com/office/spreadsheetml/2018/threadedcomments" xmlns:x="http://schemas.openxmlformats.org/spreadsheetml/2006/main">
  <threadedComment ref="C54" dT="2024-10-22T13:30:16.42" personId="{0EB43F6D-158A-417D-BB35-7B33B6D765A7}" id="{ADE5DBA2-996F-4770-832E-AFE4F4BE7ADF}">
    <text>https://europa.eu/youreurope/business/taxation/vat/vat-rules-rates/index_en.htm</text>
    <extLst>
      <x:ext xmlns:xltc2="http://schemas.microsoft.com/office/spreadsheetml/2020/threadedcomments2" uri="{F7C98A9C-CBB3-438F-8F68-D28B6AF4A901}">
        <xltc2:checksum>329837193</xltc2:checksum>
        <xltc2:hyperlink startIndex="0" length="79" url="https://europa.eu/youreurope/business/taxation/vat/vat-rules-rates/index_en.htm"/>
      </x:ext>
    </extLst>
  </threadedComment>
</ThreadedComments>
</file>

<file path=xl/threadedComments/threadedComment9.xml><?xml version="1.0" encoding="utf-8"?>
<ThreadedComments xmlns="http://schemas.microsoft.com/office/spreadsheetml/2018/threadedcomments" xmlns:x="http://schemas.openxmlformats.org/spreadsheetml/2006/main">
  <threadedComment ref="C53" dT="2024-10-22T13:30:16.42" personId="{0EB43F6D-158A-417D-BB35-7B33B6D765A7}" id="{E8453DA2-54D4-4F9A-AE43-17FF31C38BDB}">
    <text>https://europa.eu/youreurope/business/taxation/vat/vat-rules-rates/index_en.htm</text>
    <extLst>
      <x:ext xmlns:xltc2="http://schemas.microsoft.com/office/spreadsheetml/2020/threadedcomments2" uri="{F7C98A9C-CBB3-438F-8F68-D28B6AF4A901}">
        <xltc2:checksum>329837193</xltc2:checksum>
        <xltc2:hyperlink startIndex="0" length="79" url="https://europa.eu/youreurope/business/taxation/vat/vat-rules-rates/index_en.htm"/>
      </x:ext>
    </extLs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marco@ieecp.org" TargetMode="External"/><Relationship Id="rId1" Type="http://schemas.openxmlformats.org/officeDocument/2006/relationships/hyperlink" Target="https://ieecp.org/projects/regio1s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6.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7.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0.xml"/><Relationship Id="rId1" Type="http://schemas.openxmlformats.org/officeDocument/2006/relationships/printerSettings" Target="../printerSettings/printerSettings9.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1.xml"/><Relationship Id="rId1" Type="http://schemas.openxmlformats.org/officeDocument/2006/relationships/printerSettings" Target="../printerSettings/printerSettings10.bin"/><Relationship Id="rId5" Type="http://schemas.microsoft.com/office/2017/10/relationships/threadedComment" Target="../threadedComments/threadedComment6.xml"/><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2.xml"/><Relationship Id="rId1" Type="http://schemas.openxmlformats.org/officeDocument/2006/relationships/printerSettings" Target="../printerSettings/printerSettings11.bin"/><Relationship Id="rId5" Type="http://schemas.microsoft.com/office/2017/10/relationships/threadedComment" Target="../threadedComments/threadedComment7.xml"/><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3.xml"/><Relationship Id="rId1" Type="http://schemas.openxmlformats.org/officeDocument/2006/relationships/printerSettings" Target="../printerSettings/printerSettings12.bin"/><Relationship Id="rId5" Type="http://schemas.microsoft.com/office/2017/10/relationships/threadedComment" Target="../threadedComments/threadedComment8.xml"/><Relationship Id="rId4" Type="http://schemas.openxmlformats.org/officeDocument/2006/relationships/comments" Target="../comments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4.xml"/><Relationship Id="rId1" Type="http://schemas.openxmlformats.org/officeDocument/2006/relationships/printerSettings" Target="../printerSettings/printerSettings13.bin"/><Relationship Id="rId5" Type="http://schemas.microsoft.com/office/2017/10/relationships/threadedComment" Target="../threadedComments/threadedComment9.xml"/><Relationship Id="rId4" Type="http://schemas.openxmlformats.org/officeDocument/2006/relationships/comments" Target="../comments9.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CD0B2-2536-4690-B638-595081B48D45}">
  <sheetPr>
    <tabColor rgb="FF3F3F3F"/>
  </sheetPr>
  <dimension ref="A1:Z999"/>
  <sheetViews>
    <sheetView showGridLines="0" workbookViewId="0">
      <selection activeCell="D19" sqref="D19"/>
    </sheetView>
  </sheetViews>
  <sheetFormatPr defaultColWidth="14.42578125" defaultRowHeight="15" customHeight="1"/>
  <cols>
    <col min="1" max="1" width="9.140625" style="37" customWidth="1"/>
    <col min="2" max="2" width="5.140625" style="37" customWidth="1"/>
    <col min="3" max="5" width="9.140625" style="37" customWidth="1"/>
    <col min="6" max="6" width="15" style="37" customWidth="1"/>
    <col min="7" max="16" width="9.140625" style="37" customWidth="1"/>
    <col min="17" max="17" width="13.5703125" style="37" customWidth="1"/>
    <col min="18" max="18" width="9.140625" style="37" customWidth="1"/>
    <col min="19" max="19" width="5.140625" style="37" customWidth="1"/>
    <col min="20" max="26" width="8.85546875" style="37" customWidth="1"/>
    <col min="27" max="16384" width="14.42578125" style="37"/>
  </cols>
  <sheetData>
    <row r="1" spans="1:26" ht="33.75" customHeight="1">
      <c r="A1" s="38"/>
      <c r="B1" s="38"/>
      <c r="C1" s="38"/>
      <c r="D1" s="38"/>
      <c r="E1" s="38"/>
      <c r="F1" s="38"/>
      <c r="G1" s="38"/>
      <c r="H1" s="38"/>
      <c r="I1" s="38"/>
      <c r="J1" s="38"/>
      <c r="K1" s="38"/>
      <c r="L1" s="38"/>
      <c r="M1" s="38"/>
      <c r="N1" s="38"/>
      <c r="O1" s="38"/>
      <c r="P1" s="38"/>
      <c r="Q1" s="38"/>
      <c r="R1" s="38"/>
      <c r="S1" s="38"/>
      <c r="T1" s="38"/>
      <c r="U1" s="38"/>
      <c r="V1" s="38"/>
      <c r="W1" s="38"/>
      <c r="X1" s="38"/>
      <c r="Y1" s="38"/>
      <c r="Z1" s="38"/>
    </row>
    <row r="2" spans="1:26" ht="14.45">
      <c r="A2" s="38"/>
      <c r="B2" s="49"/>
      <c r="C2" s="49"/>
      <c r="D2" s="49"/>
      <c r="E2" s="49"/>
      <c r="F2" s="49"/>
      <c r="G2" s="49"/>
      <c r="H2" s="49"/>
      <c r="I2" s="49"/>
      <c r="J2" s="49"/>
      <c r="K2" s="49"/>
      <c r="L2" s="49"/>
      <c r="M2" s="49"/>
      <c r="N2" s="49"/>
      <c r="O2" s="49"/>
      <c r="P2" s="49"/>
      <c r="Q2" s="49"/>
      <c r="R2" s="49"/>
      <c r="S2" s="49"/>
      <c r="T2" s="38"/>
      <c r="U2" s="38"/>
      <c r="V2" s="38"/>
      <c r="W2" s="38"/>
      <c r="X2" s="38"/>
      <c r="Y2" s="38"/>
      <c r="Z2" s="38"/>
    </row>
    <row r="3" spans="1:26" ht="14.45">
      <c r="A3" s="38"/>
      <c r="B3" s="49"/>
      <c r="C3" s="49"/>
      <c r="D3" s="49"/>
      <c r="E3" s="49"/>
      <c r="F3" s="49"/>
      <c r="G3" s="49"/>
      <c r="H3" s="49"/>
      <c r="I3" s="49"/>
      <c r="J3" s="49"/>
      <c r="K3" s="49"/>
      <c r="L3" s="49"/>
      <c r="M3" s="49"/>
      <c r="N3" s="49"/>
      <c r="O3" s="49"/>
      <c r="P3" s="49"/>
      <c r="Q3" s="49"/>
      <c r="R3" s="49"/>
      <c r="S3" s="49"/>
      <c r="T3" s="38"/>
      <c r="U3" s="38"/>
      <c r="V3" s="38"/>
      <c r="W3" s="38"/>
      <c r="X3" s="38"/>
      <c r="Y3" s="38"/>
      <c r="Z3" s="38"/>
    </row>
    <row r="4" spans="1:26" ht="14.45">
      <c r="A4" s="38"/>
      <c r="B4" s="49"/>
      <c r="C4" s="49"/>
      <c r="D4" s="49"/>
      <c r="E4" s="49"/>
      <c r="F4" s="49"/>
      <c r="G4" s="49"/>
      <c r="H4" s="49"/>
      <c r="I4" s="49"/>
      <c r="J4" s="49"/>
      <c r="K4" s="49"/>
      <c r="L4" s="49"/>
      <c r="M4" s="49"/>
      <c r="N4" s="49"/>
      <c r="O4" s="49"/>
      <c r="P4" s="49"/>
      <c r="Q4" s="49"/>
      <c r="R4" s="49"/>
      <c r="S4" s="49"/>
      <c r="T4" s="38"/>
      <c r="U4" s="38"/>
      <c r="V4" s="38"/>
      <c r="W4" s="38"/>
      <c r="X4" s="38"/>
      <c r="Y4" s="38"/>
      <c r="Z4" s="38"/>
    </row>
    <row r="5" spans="1:26" ht="14.45">
      <c r="A5" s="38"/>
      <c r="B5" s="49"/>
      <c r="C5" s="49"/>
      <c r="D5" s="49"/>
      <c r="E5" s="49"/>
      <c r="F5" s="49"/>
      <c r="G5" s="49"/>
      <c r="H5" s="49"/>
      <c r="I5" s="49"/>
      <c r="J5" s="49"/>
      <c r="K5" s="49"/>
      <c r="L5" s="49"/>
      <c r="M5" s="49"/>
      <c r="N5" s="49"/>
      <c r="O5" s="49"/>
      <c r="P5" s="49"/>
      <c r="Q5" s="49"/>
      <c r="R5" s="49"/>
      <c r="S5" s="49"/>
      <c r="T5" s="38"/>
      <c r="U5" s="38"/>
      <c r="V5" s="38"/>
      <c r="W5" s="38"/>
      <c r="X5" s="38"/>
      <c r="Y5" s="38"/>
      <c r="Z5" s="38"/>
    </row>
    <row r="6" spans="1:26" ht="14.45">
      <c r="A6" s="38"/>
      <c r="B6" s="49"/>
      <c r="C6" s="49"/>
      <c r="D6" s="49"/>
      <c r="E6" s="49"/>
      <c r="F6" s="49"/>
      <c r="G6" s="49"/>
      <c r="H6" s="49"/>
      <c r="I6" s="49"/>
      <c r="J6" s="49"/>
      <c r="K6" s="49"/>
      <c r="L6" s="49"/>
      <c r="M6" s="49"/>
      <c r="N6" s="49"/>
      <c r="O6" s="49"/>
      <c r="P6" s="49"/>
      <c r="Q6" s="49"/>
      <c r="R6" s="49"/>
      <c r="S6" s="49"/>
      <c r="T6" s="38"/>
      <c r="U6" s="38"/>
      <c r="V6" s="38"/>
      <c r="W6" s="38"/>
      <c r="X6" s="38"/>
      <c r="Y6" s="38"/>
      <c r="Z6" s="38"/>
    </row>
    <row r="7" spans="1:26" ht="14.45">
      <c r="A7" s="38"/>
      <c r="B7" s="49"/>
      <c r="C7" s="49"/>
      <c r="D7" s="49"/>
      <c r="E7" s="49"/>
      <c r="F7" s="49"/>
      <c r="G7" s="49"/>
      <c r="H7" s="49"/>
      <c r="I7" s="49"/>
      <c r="J7" s="49"/>
      <c r="K7" s="49"/>
      <c r="L7" s="49"/>
      <c r="M7" s="49"/>
      <c r="N7" s="49"/>
      <c r="O7" s="49"/>
      <c r="P7" s="49"/>
      <c r="Q7" s="49"/>
      <c r="R7" s="49"/>
      <c r="S7" s="49"/>
      <c r="T7" s="38"/>
      <c r="U7" s="38"/>
      <c r="V7" s="38"/>
      <c r="W7" s="38"/>
      <c r="X7" s="38"/>
      <c r="Y7" s="38"/>
      <c r="Z7" s="38"/>
    </row>
    <row r="8" spans="1:26" ht="30" customHeight="1">
      <c r="A8" s="38"/>
      <c r="B8" s="39"/>
      <c r="C8" s="39"/>
      <c r="D8" s="39"/>
      <c r="E8" s="39"/>
      <c r="F8" s="39"/>
      <c r="G8" s="39"/>
      <c r="H8" s="39"/>
      <c r="I8" s="39"/>
      <c r="J8" s="39"/>
      <c r="K8" s="39"/>
      <c r="L8" s="39"/>
      <c r="M8" s="39"/>
      <c r="N8" s="39"/>
      <c r="O8" s="39"/>
      <c r="P8" s="39"/>
      <c r="Q8" s="39"/>
      <c r="R8" s="39"/>
      <c r="S8" s="39"/>
      <c r="T8" s="38"/>
      <c r="U8" s="38"/>
      <c r="V8" s="38"/>
      <c r="W8" s="38"/>
      <c r="X8" s="38"/>
      <c r="Y8" s="38"/>
      <c r="Z8" s="38"/>
    </row>
    <row r="9" spans="1:26" ht="20.100000000000001">
      <c r="A9" s="38"/>
      <c r="B9" s="39"/>
      <c r="C9" s="48" t="s">
        <v>0</v>
      </c>
      <c r="D9" s="39"/>
      <c r="E9" s="39"/>
      <c r="F9" s="39"/>
      <c r="G9" s="39"/>
      <c r="H9" s="39"/>
      <c r="I9" s="39"/>
      <c r="J9" s="39"/>
      <c r="K9" s="39"/>
      <c r="L9" s="39"/>
      <c r="M9" s="39"/>
      <c r="N9" s="39"/>
      <c r="O9" s="39"/>
      <c r="P9" s="39"/>
      <c r="Q9" s="39"/>
      <c r="R9" s="39"/>
      <c r="S9" s="39"/>
      <c r="T9" s="38"/>
      <c r="U9" s="38"/>
      <c r="V9" s="38"/>
      <c r="W9" s="38"/>
      <c r="X9" s="38"/>
      <c r="Y9" s="38"/>
      <c r="Z9" s="38"/>
    </row>
    <row r="10" spans="1:26" ht="14.45">
      <c r="A10" s="38"/>
      <c r="B10" s="39"/>
      <c r="C10" s="39"/>
      <c r="D10" s="39"/>
      <c r="E10" s="39"/>
      <c r="F10" s="39"/>
      <c r="G10" s="39"/>
      <c r="H10" s="39"/>
      <c r="I10" s="39"/>
      <c r="J10" s="39"/>
      <c r="K10" s="39"/>
      <c r="L10" s="39"/>
      <c r="M10" s="39"/>
      <c r="N10" s="39"/>
      <c r="O10" s="39"/>
      <c r="P10" s="39"/>
      <c r="Q10" s="39"/>
      <c r="R10" s="39"/>
      <c r="S10" s="39"/>
      <c r="T10" s="38"/>
      <c r="U10" s="38"/>
      <c r="V10" s="38"/>
      <c r="W10" s="38"/>
      <c r="X10" s="38"/>
      <c r="Y10" s="38"/>
      <c r="Z10" s="38"/>
    </row>
    <row r="11" spans="1:26" ht="14.45">
      <c r="A11" s="38"/>
      <c r="B11" s="39"/>
      <c r="C11" s="47" t="s">
        <v>1</v>
      </c>
      <c r="D11" s="39"/>
      <c r="E11" s="39"/>
      <c r="F11" s="39"/>
      <c r="G11" s="39"/>
      <c r="H11" s="39"/>
      <c r="I11" s="39"/>
      <c r="J11" s="39"/>
      <c r="K11" s="39"/>
      <c r="L11" s="39"/>
      <c r="M11" s="39"/>
      <c r="N11" s="39"/>
      <c r="O11" s="39"/>
      <c r="P11" s="39"/>
      <c r="Q11" s="39"/>
      <c r="R11" s="39"/>
      <c r="S11" s="39"/>
      <c r="T11" s="38"/>
      <c r="U11" s="38"/>
      <c r="V11" s="38"/>
      <c r="W11" s="38"/>
      <c r="X11" s="38"/>
      <c r="Y11" s="38"/>
      <c r="Z11" s="38"/>
    </row>
    <row r="12" spans="1:26" ht="14.45">
      <c r="A12" s="38"/>
      <c r="B12" s="39"/>
      <c r="C12" s="46" t="s">
        <v>2</v>
      </c>
      <c r="D12" s="39"/>
      <c r="E12" s="39"/>
      <c r="F12" s="39"/>
      <c r="G12" s="39"/>
      <c r="H12" s="39"/>
      <c r="I12" s="39"/>
      <c r="J12" s="39"/>
      <c r="K12" s="39"/>
      <c r="L12" s="39"/>
      <c r="M12" s="39"/>
      <c r="N12" s="39"/>
      <c r="O12" s="39"/>
      <c r="P12" s="39"/>
      <c r="Q12" s="39"/>
      <c r="R12" s="39"/>
      <c r="S12" s="39"/>
      <c r="T12" s="38"/>
      <c r="U12" s="38"/>
      <c r="V12" s="38"/>
      <c r="W12" s="38"/>
      <c r="X12" s="38"/>
      <c r="Y12" s="38"/>
      <c r="Z12" s="38"/>
    </row>
    <row r="13" spans="1:26" ht="14.45">
      <c r="A13" s="38"/>
      <c r="B13" s="39"/>
      <c r="C13" s="50" t="s">
        <v>3</v>
      </c>
      <c r="D13" s="39"/>
      <c r="E13" s="39"/>
      <c r="F13" s="39"/>
      <c r="G13" s="39"/>
      <c r="H13" s="39"/>
      <c r="I13" s="39"/>
      <c r="J13" s="39"/>
      <c r="K13" s="39"/>
      <c r="L13" s="39"/>
      <c r="M13" s="39"/>
      <c r="N13" s="39"/>
      <c r="O13" s="39"/>
      <c r="P13" s="39"/>
      <c r="Q13" s="39"/>
      <c r="R13" s="39"/>
      <c r="S13" s="39"/>
      <c r="T13" s="38"/>
      <c r="U13" s="38"/>
      <c r="V13" s="38"/>
      <c r="W13" s="38"/>
      <c r="X13" s="38"/>
      <c r="Y13" s="38"/>
      <c r="Z13" s="38"/>
    </row>
    <row r="14" spans="1:26" ht="14.45">
      <c r="A14" s="38"/>
      <c r="B14" s="39"/>
      <c r="C14" s="39"/>
      <c r="D14" s="39"/>
      <c r="E14" s="39"/>
      <c r="F14" s="39"/>
      <c r="G14" s="39"/>
      <c r="H14" s="39"/>
      <c r="I14" s="39"/>
      <c r="J14" s="39"/>
      <c r="K14" s="39"/>
      <c r="L14" s="39"/>
      <c r="M14" s="39"/>
      <c r="N14" s="39"/>
      <c r="O14" s="39"/>
      <c r="P14" s="39"/>
      <c r="Q14" s="39"/>
      <c r="R14" s="39"/>
      <c r="S14" s="39"/>
      <c r="T14" s="38"/>
      <c r="U14" s="38"/>
      <c r="V14" s="38"/>
      <c r="W14" s="38"/>
      <c r="X14" s="38"/>
      <c r="Y14" s="38"/>
      <c r="Z14" s="38"/>
    </row>
    <row r="15" spans="1:26" ht="14.45">
      <c r="A15" s="38"/>
      <c r="B15" s="39"/>
      <c r="C15" s="43" t="s">
        <v>4</v>
      </c>
      <c r="D15" s="43"/>
      <c r="E15" s="41"/>
      <c r="F15" s="41">
        <v>45789</v>
      </c>
      <c r="G15" s="39"/>
      <c r="H15" s="39"/>
      <c r="I15" s="39"/>
      <c r="J15" s="39"/>
      <c r="K15" s="39"/>
      <c r="L15" s="39"/>
      <c r="M15" s="39"/>
      <c r="N15" s="39"/>
      <c r="O15" s="39"/>
      <c r="P15" s="39"/>
      <c r="Q15" s="39"/>
      <c r="R15" s="39"/>
      <c r="S15" s="39"/>
      <c r="T15" s="38"/>
      <c r="U15" s="38"/>
      <c r="V15" s="38"/>
      <c r="W15" s="38"/>
      <c r="X15" s="38"/>
      <c r="Y15" s="38"/>
      <c r="Z15" s="38"/>
    </row>
    <row r="16" spans="1:26" ht="14.45">
      <c r="A16" s="38"/>
      <c r="B16" s="39"/>
      <c r="C16" s="43" t="s">
        <v>5</v>
      </c>
      <c r="D16" s="43"/>
      <c r="E16" s="45"/>
      <c r="F16" s="44" t="s">
        <v>6</v>
      </c>
      <c r="G16" s="39"/>
      <c r="H16" s="39"/>
      <c r="I16" s="39"/>
      <c r="J16" s="39"/>
      <c r="K16" s="39"/>
      <c r="L16" s="39"/>
      <c r="M16" s="39"/>
      <c r="N16" s="39"/>
      <c r="O16" s="39"/>
      <c r="P16" s="39"/>
      <c r="Q16" s="39"/>
      <c r="R16" s="39"/>
      <c r="S16" s="39"/>
      <c r="T16" s="38"/>
      <c r="U16" s="38"/>
      <c r="V16" s="38"/>
      <c r="W16" s="38"/>
      <c r="X16" s="38"/>
      <c r="Y16" s="38"/>
      <c r="Z16" s="38"/>
    </row>
    <row r="17" spans="1:26" ht="14.45">
      <c r="A17" s="38"/>
      <c r="B17" s="39"/>
      <c r="C17" s="43"/>
      <c r="D17" s="43"/>
      <c r="E17" s="42"/>
      <c r="F17" s="41"/>
      <c r="G17" s="39"/>
      <c r="H17" s="39"/>
      <c r="I17" s="39"/>
      <c r="J17" s="39"/>
      <c r="K17" s="39"/>
      <c r="L17" s="39"/>
      <c r="M17" s="39"/>
      <c r="N17" s="39"/>
      <c r="O17" s="39"/>
      <c r="P17" s="39"/>
      <c r="Q17" s="39"/>
      <c r="R17" s="39"/>
      <c r="S17" s="39"/>
      <c r="T17" s="38"/>
      <c r="U17" s="38"/>
      <c r="V17" s="38"/>
      <c r="W17" s="38"/>
      <c r="X17" s="38"/>
      <c r="Y17" s="38"/>
      <c r="Z17" s="38"/>
    </row>
    <row r="18" spans="1:26" ht="14.45">
      <c r="A18" s="38"/>
      <c r="B18" s="39"/>
      <c r="C18" s="43" t="s">
        <v>7</v>
      </c>
      <c r="D18" s="43"/>
      <c r="E18" s="42"/>
      <c r="F18" s="41" t="s">
        <v>8</v>
      </c>
      <c r="G18" s="39"/>
      <c r="H18" s="39"/>
      <c r="I18" s="39"/>
      <c r="J18" s="39"/>
      <c r="K18" s="39"/>
      <c r="L18" s="39"/>
      <c r="M18" s="39"/>
      <c r="N18" s="39"/>
      <c r="O18" s="39"/>
      <c r="P18" s="39"/>
      <c r="Q18" s="39"/>
      <c r="R18" s="39"/>
      <c r="S18" s="39"/>
      <c r="T18" s="38"/>
      <c r="U18" s="38"/>
      <c r="V18" s="38"/>
      <c r="W18" s="38"/>
      <c r="X18" s="38"/>
      <c r="Y18" s="38"/>
      <c r="Z18" s="38"/>
    </row>
    <row r="19" spans="1:26" ht="14.45">
      <c r="A19" s="38"/>
      <c r="B19" s="39"/>
      <c r="C19" s="43" t="s">
        <v>9</v>
      </c>
      <c r="D19" s="43"/>
      <c r="E19" s="42"/>
      <c r="F19" s="51" t="s">
        <v>10</v>
      </c>
      <c r="G19" s="39"/>
      <c r="H19" s="39"/>
      <c r="I19" s="39"/>
      <c r="J19" s="39"/>
      <c r="K19" s="39"/>
      <c r="L19" s="39"/>
      <c r="M19" s="39"/>
      <c r="N19" s="39"/>
      <c r="O19" s="39"/>
      <c r="P19" s="39"/>
      <c r="Q19" s="39"/>
      <c r="R19" s="39"/>
      <c r="S19" s="39"/>
      <c r="T19" s="38"/>
      <c r="U19" s="38"/>
      <c r="V19" s="38"/>
      <c r="W19" s="38"/>
      <c r="X19" s="38"/>
      <c r="Y19" s="38"/>
      <c r="Z19" s="38"/>
    </row>
    <row r="20" spans="1:26" ht="30" customHeight="1">
      <c r="A20" s="38"/>
      <c r="B20" s="39"/>
      <c r="C20" s="39"/>
      <c r="D20" s="39"/>
      <c r="E20" s="39"/>
      <c r="F20" s="39"/>
      <c r="G20" s="39"/>
      <c r="H20" s="39"/>
      <c r="I20" s="39"/>
      <c r="J20" s="39"/>
      <c r="K20" s="39"/>
      <c r="L20" s="39"/>
      <c r="M20" s="39"/>
      <c r="N20" s="39"/>
      <c r="O20" s="39"/>
      <c r="P20" s="39"/>
      <c r="Q20" s="39"/>
      <c r="R20" s="39"/>
      <c r="S20" s="39"/>
      <c r="T20" s="38"/>
      <c r="U20" s="38"/>
      <c r="V20" s="38"/>
      <c r="W20" s="38"/>
      <c r="X20" s="38"/>
      <c r="Y20" s="38"/>
      <c r="Z20" s="38"/>
    </row>
    <row r="21" spans="1:26" ht="15.75" customHeight="1">
      <c r="A21" s="38"/>
      <c r="B21" s="39"/>
      <c r="C21" s="39"/>
      <c r="D21" s="39"/>
      <c r="E21" s="39"/>
      <c r="F21" s="40" t="s">
        <v>11</v>
      </c>
      <c r="G21" s="39"/>
      <c r="H21" s="39"/>
      <c r="I21" s="39"/>
      <c r="J21" s="39"/>
      <c r="K21" s="39"/>
      <c r="L21" s="39"/>
      <c r="M21" s="39"/>
      <c r="N21" s="39"/>
      <c r="O21" s="39"/>
      <c r="P21" s="39"/>
      <c r="Q21" s="39"/>
      <c r="R21" s="39"/>
      <c r="S21" s="39"/>
      <c r="T21" s="38"/>
      <c r="U21" s="38"/>
      <c r="V21" s="38"/>
      <c r="W21" s="38"/>
      <c r="X21" s="38"/>
      <c r="Y21" s="38"/>
      <c r="Z21" s="38"/>
    </row>
    <row r="22" spans="1:26" ht="15.75" customHeight="1">
      <c r="A22" s="38"/>
      <c r="B22" s="39"/>
      <c r="C22" s="39"/>
      <c r="D22" s="39"/>
      <c r="E22" s="39"/>
      <c r="F22" s="40" t="s">
        <v>12</v>
      </c>
      <c r="G22" s="39"/>
      <c r="H22" s="39"/>
      <c r="I22" s="39"/>
      <c r="J22" s="39"/>
      <c r="K22" s="39"/>
      <c r="L22" s="39"/>
      <c r="M22" s="39"/>
      <c r="N22" s="39"/>
      <c r="O22" s="39"/>
      <c r="P22" s="39"/>
      <c r="Q22" s="39"/>
      <c r="R22" s="39"/>
      <c r="S22" s="39"/>
      <c r="T22" s="38"/>
      <c r="U22" s="38"/>
      <c r="V22" s="38"/>
      <c r="W22" s="38"/>
      <c r="X22" s="38"/>
      <c r="Y22" s="38"/>
      <c r="Z22" s="38"/>
    </row>
    <row r="23" spans="1:26" ht="15.75" customHeight="1">
      <c r="A23" s="38"/>
      <c r="B23" s="39"/>
      <c r="C23" s="39"/>
      <c r="D23" s="39"/>
      <c r="E23" s="39"/>
      <c r="F23" s="40" t="s">
        <v>13</v>
      </c>
      <c r="G23" s="39"/>
      <c r="H23" s="39"/>
      <c r="I23" s="39"/>
      <c r="J23" s="39"/>
      <c r="K23" s="39"/>
      <c r="L23" s="39"/>
      <c r="M23" s="39"/>
      <c r="N23" s="39"/>
      <c r="O23" s="39"/>
      <c r="P23" s="39"/>
      <c r="Q23" s="39"/>
      <c r="R23" s="39"/>
      <c r="S23" s="39"/>
      <c r="T23" s="38"/>
      <c r="U23" s="38"/>
      <c r="V23" s="38"/>
      <c r="W23" s="38"/>
      <c r="X23" s="38"/>
      <c r="Y23" s="38"/>
      <c r="Z23" s="38"/>
    </row>
    <row r="24" spans="1:26" ht="30" customHeight="1">
      <c r="A24" s="38"/>
      <c r="B24" s="39"/>
      <c r="C24" s="39"/>
      <c r="D24" s="39"/>
      <c r="E24" s="39"/>
      <c r="F24" s="39"/>
      <c r="G24" s="39"/>
      <c r="H24" s="39"/>
      <c r="I24" s="39"/>
      <c r="J24" s="39"/>
      <c r="K24" s="39"/>
      <c r="L24" s="39"/>
      <c r="M24" s="39"/>
      <c r="N24" s="39"/>
      <c r="O24" s="39"/>
      <c r="P24" s="39"/>
      <c r="Q24" s="39"/>
      <c r="R24" s="39"/>
      <c r="S24" s="39"/>
      <c r="T24" s="38"/>
      <c r="U24" s="38"/>
      <c r="V24" s="38"/>
      <c r="W24" s="38"/>
      <c r="X24" s="38"/>
      <c r="Y24" s="38"/>
      <c r="Z24" s="38"/>
    </row>
    <row r="25" spans="1:26" ht="33.75" customHeight="1">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row>
    <row r="26" spans="1:26" ht="15" hidden="1" customHeight="1">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row>
    <row r="27" spans="1:26" ht="15" hidden="1" customHeight="1">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row>
    <row r="28" spans="1:26" ht="15" hidden="1" customHeight="1">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row>
    <row r="29" spans="1:26" ht="15" hidden="1" customHeight="1">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row>
    <row r="30" spans="1:26" ht="15.75" customHeight="1">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row>
    <row r="31" spans="1:26" ht="15.75" customHeight="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row>
    <row r="32" spans="1:26" ht="15.75" customHeight="1">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row>
    <row r="33" spans="1:26" ht="15.75" customHeight="1">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row>
    <row r="34" spans="1:26" ht="15.75" customHeight="1">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row>
    <row r="35" spans="1:26" ht="15.75" customHeight="1">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row>
    <row r="36" spans="1:26" ht="15.75" customHeight="1">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row>
    <row r="37" spans="1:26" ht="15.75" customHeight="1">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row>
    <row r="38" spans="1:26" ht="15.75" customHeight="1">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row>
    <row r="39" spans="1:26" ht="15.75" customHeight="1">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row>
    <row r="40" spans="1:26" ht="15.75" customHeight="1">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row>
    <row r="41" spans="1:26" ht="15.75" customHeight="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row>
    <row r="42" spans="1:26" ht="15.75" customHeight="1">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row>
    <row r="43" spans="1:26" ht="15.75" customHeight="1">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row>
    <row r="44" spans="1:26" ht="15.75" customHeight="1">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row>
    <row r="45" spans="1:26" ht="15.75" customHeight="1">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row>
    <row r="46" spans="1:26" ht="15.75" customHeight="1">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row>
    <row r="47" spans="1:26" ht="15.75" customHeight="1">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row>
    <row r="48" spans="1:26" ht="15.75" customHeight="1">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row>
    <row r="49" spans="1:26" ht="15.75"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row>
    <row r="50" spans="1:26" ht="15.75"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row>
    <row r="51" spans="1:26" ht="15.75" customHeight="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row>
    <row r="52" spans="1:26" ht="15.75" customHeight="1">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row>
    <row r="53" spans="1:26" ht="15.75" customHeight="1">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spans="1:26" ht="15.75" customHeight="1">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row>
    <row r="55" spans="1:26" ht="15.75" customHeight="1">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row>
    <row r="56" spans="1:26" ht="15.75" customHeight="1">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row>
    <row r="57" spans="1:26" ht="15.75" customHeight="1">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row>
    <row r="58" spans="1:26" ht="15.75" customHeight="1">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row>
    <row r="59" spans="1:26" ht="15.7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spans="1:26"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spans="1:26"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spans="1:26"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spans="1:26"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spans="1:26"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spans="1:26"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spans="1:2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spans="1:26"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spans="1:26"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spans="1:26"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spans="1:26"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spans="1:26"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spans="1:26"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spans="1:26"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spans="1:26"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spans="1:26"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spans="1:2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spans="1:26"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spans="1:26"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spans="1:26"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spans="1:26"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spans="1:26"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spans="1:26"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spans="1:26"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spans="1:26"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spans="1:26"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spans="1:26"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spans="1:26"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spans="1:26"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spans="1:26"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spans="1:26"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spans="1:26"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spans="1:26"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spans="1:26"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spans="1:26"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spans="1:26"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spans="1:26"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spans="1:26"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spans="1:26"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spans="1:26"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spans="1:26"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spans="1:26"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spans="1:26"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spans="1:26"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spans="1:26"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spans="1:26"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spans="1:26"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spans="1:26"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spans="1:26"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spans="1:26"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spans="1:26"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spans="1:26"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spans="1:26"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spans="1:26"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spans="1:26"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spans="1:26"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spans="1:26"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spans="1:26"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spans="1:26"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spans="1:26"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spans="1:26"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spans="1:26"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spans="1:26"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spans="1:26"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spans="1:26"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spans="1:26"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spans="1:26"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spans="1:26"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spans="1:26"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spans="1:26"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spans="1:26"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spans="1:26"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spans="1:26"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spans="1:26"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spans="1:26"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spans="1:26"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spans="1:26"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spans="1:26"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spans="1:26"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spans="1:26"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spans="1:26"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spans="1:26"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spans="1:26"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spans="1:26"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spans="1:26"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spans="1:26"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spans="1:26"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spans="1:26"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spans="1:26"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spans="1:26"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spans="1:26"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spans="1:26"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spans="1:26"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spans="1:26"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spans="1:26"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spans="1:26"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pans="1:26"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spans="1:26"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spans="1:26"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spans="1:26"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spans="1:26"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spans="1:26"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spans="1:26"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spans="1:26"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spans="1:26"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spans="1:26"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spans="1:26"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spans="1:26"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spans="1:26"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spans="1:26"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spans="1:26"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spans="1:26"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spans="1:26"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spans="1:26"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spans="1:26"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spans="1:26"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spans="1:26"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spans="1:26"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spans="1:26"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spans="1:26"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spans="1:26"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spans="1:26"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spans="1:26"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spans="1:26"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spans="1:26"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spans="1:26"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spans="1:26"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spans="1:26"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spans="1:26"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spans="1:26"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spans="1:26"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spans="1:26"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spans="1:26"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spans="1:26"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spans="1:26"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spans="1:26"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spans="1:26"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spans="1:26"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spans="1:26"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spans="1:26"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spans="1:26"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spans="1:26"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spans="1:26"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spans="1:26"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spans="1:26"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spans="1:26"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spans="1:26"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spans="1:26"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spans="1:26"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spans="1:26"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spans="1:26"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spans="1:26"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spans="1:26"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spans="1:26"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spans="1:26"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spans="1:26"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spans="1:26"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spans="1:26"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spans="1:26"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spans="1:26"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spans="1:26"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spans="1:26"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spans="1:26"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spans="1:26"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spans="1:26"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spans="1:26"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spans="1:26"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spans="1:26"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spans="1:26"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spans="1:26"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spans="1:26"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spans="1:26"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spans="1:26"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spans="1:26"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spans="1:26"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spans="1:26"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spans="1:26"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spans="1:26"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spans="1:26"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spans="1:26"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spans="1:26" ht="15.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spans="1:26" ht="15.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spans="1:26" ht="15.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spans="1:26" ht="15.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spans="1:26" ht="15.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spans="1:26" ht="15.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spans="1:26" ht="15.7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spans="1:26" ht="15.7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spans="1:26" ht="15.7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spans="1:26" ht="15.7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spans="1:26" ht="15.7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spans="1:26" ht="15.7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spans="1:26" ht="15.7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spans="1:26" ht="15.7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spans="1:26" ht="15.7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spans="1:26" ht="15.7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spans="1:26" ht="15.7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spans="1:26" ht="15.7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spans="1:26" ht="15.7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spans="1:26" ht="15.7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spans="1:26" ht="15.7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spans="1:26" ht="15.7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spans="1:26" ht="15.7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spans="1:26" ht="15.7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spans="1:26" ht="15.7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spans="1:26" ht="15.7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spans="1:26" ht="15.7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spans="1:26" ht="15.7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spans="1:26" ht="15.7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spans="1:26" ht="15.7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spans="1:26" ht="15.7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spans="1:26" ht="15.7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spans="1:26" ht="15.7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spans="1:26" ht="15.7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spans="1:26" ht="15.7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spans="1:26" ht="15.7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spans="1:26" ht="15.7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spans="1:26" ht="15.7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spans="1:26" ht="15.7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spans="1:26" ht="15.7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spans="1:26" ht="15.7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spans="1:26" ht="15.7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spans="1:26" ht="15.7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spans="1:26" ht="15.7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spans="1:26" ht="15.7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spans="1:26" ht="15.7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spans="1:26" ht="15.7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spans="1:26" ht="15.7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spans="1:26" ht="15.7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spans="1:26" ht="15.7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spans="1:26" ht="15.7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spans="1:26" ht="15.7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spans="1:26" ht="15.7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spans="1:26" ht="15.7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spans="1:26" ht="15.7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spans="1:26" ht="15.7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spans="1:26" ht="15.7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spans="1:26" ht="15.7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spans="1:26" ht="15.7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spans="1:26" ht="15.7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spans="1:26" ht="15.7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spans="1:26" ht="15.7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spans="1:26" ht="15.7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spans="1:26" ht="15.7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spans="1:26" ht="15.7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spans="1:26" ht="15.7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spans="1:26" ht="15.7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spans="1:26" ht="15.7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spans="1:26" ht="15.7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spans="1:26" ht="15.7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spans="1:26" ht="15.7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spans="1:26" ht="15.7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spans="1:26" ht="15.7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spans="1:26" ht="15.7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spans="1:26" ht="15.7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spans="1:26" ht="15.7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spans="1:26" ht="15.7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spans="1:26" ht="15.7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spans="1:26" ht="15.7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spans="1:26" ht="15.7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spans="1:26" ht="15.7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spans="1:26" ht="15.7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spans="1:26" ht="15.7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spans="1:26" ht="15.7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spans="1:26" ht="15.7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spans="1:26" ht="15.7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spans="1:26" ht="15.7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spans="1:26" ht="15.7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spans="1:26" ht="15.7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spans="1:26" ht="15.7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spans="1:26" ht="15.7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spans="1:26" ht="15.7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spans="1:26" ht="15.7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spans="1:26" ht="15.7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spans="1:26" ht="15.7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spans="1:26" ht="15.7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spans="1:26" ht="15.7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spans="1:26" ht="15.7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spans="1:26" ht="15.7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spans="1:26" ht="15.7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spans="1:26" ht="15.7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spans="1:26" ht="15.7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spans="1:26" ht="15.7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spans="1:26" ht="15.7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spans="1:26" ht="15.7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spans="1:26" ht="15.7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spans="1:26" ht="15.7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spans="1:26" ht="15.7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spans="1:26" ht="15.7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spans="1:26" ht="15.7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spans="1:26" ht="15.7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spans="1:26" ht="15.7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spans="1:26" ht="15.7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spans="1:26" ht="15.7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spans="1:26" ht="15.7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spans="1:26" ht="15.7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spans="1:26" ht="15.7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spans="1:26" ht="15.7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spans="1:26" ht="15.7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spans="1:26" ht="15.7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spans="1:26" ht="15.7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spans="1:26" ht="15.7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spans="1:26" ht="15.7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spans="1:26" ht="15.7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spans="1:26" ht="15.7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spans="1:26" ht="15.7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spans="1:26" ht="15.7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spans="1:26" ht="15.7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spans="1:26" ht="15.7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spans="1:26" ht="15.7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spans="1:26" ht="15.7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spans="1:26" ht="15.7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spans="1:26" ht="15.7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spans="1:26" ht="15.7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spans="1:26" ht="15.7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spans="1:26" ht="15.7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spans="1:26" ht="15.7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spans="1:26" ht="15.7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spans="1:26" ht="15.7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spans="1:26" ht="15.7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spans="1:26" ht="15.7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spans="1:26" ht="15.7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spans="1:26" ht="15.7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spans="1:26" ht="15.7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spans="1:26" ht="15.7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spans="1:26" ht="15.7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spans="1:26" ht="15.7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spans="1:26" ht="15.7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spans="1:26" ht="15.7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spans="1:26" ht="15.7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spans="1:26" ht="15.7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spans="1:26" ht="15.7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spans="1:26" ht="15.7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spans="1:26" ht="15.7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spans="1:26" ht="15.7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spans="1:26" ht="15.7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spans="1:26" ht="15.7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spans="1:26" ht="15.7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spans="1:26" ht="15.7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spans="1:26" ht="15.7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spans="1:26" ht="15.7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spans="1:26" ht="15.7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spans="1:26" ht="15.7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spans="1:26" ht="15.7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spans="1:26" ht="15.7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spans="1:26" ht="15.7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spans="1:26" ht="15.7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spans="1:26" ht="15.7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spans="1:26" ht="15.7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spans="1:26" ht="15.7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spans="1:26" ht="15.7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spans="1:26" ht="15.7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spans="1:26" ht="15.7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spans="1:26" ht="15.7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spans="1:26" ht="15.7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spans="1:26" ht="15.7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spans="1:26" ht="15.7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spans="1:26" ht="15.7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spans="1:26" ht="15.7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spans="1:26" ht="15.7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spans="1:26" ht="15.7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spans="1:26" ht="15.7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spans="1:26" ht="15.7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spans="1:26" ht="15.7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spans="1:26" ht="15.7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spans="1:26" ht="15.7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spans="1:26" ht="15.7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spans="1:26" ht="15.7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spans="1:26" ht="15.7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spans="1:26" ht="15.7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spans="1:26" ht="15.7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spans="1:26" ht="15.7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spans="1:26" ht="15.7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spans="1:26" ht="15.7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spans="1:26" ht="15.7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spans="1:26" ht="15.7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spans="1:26" ht="15.7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spans="1:26" ht="15.7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spans="1:26" ht="15.7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spans="1:26" ht="15.7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spans="1:26" ht="15.7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spans="1:26" ht="15.7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spans="1:26" ht="15.7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spans="1:26" ht="15.7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spans="1:26" ht="15.7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spans="1:26" ht="15.7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spans="1:26" ht="15.7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spans="1:26" ht="15.7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spans="1:26" ht="15.7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spans="1:26" ht="15.7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spans="1:26" ht="15.7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spans="1:26" ht="15.7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spans="1:26" ht="15.7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spans="1:26" ht="15.7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spans="1:26" ht="15.7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spans="1:26" ht="15.7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spans="1:26" ht="15.7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spans="1:26" ht="15.7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spans="1:26" ht="15.7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spans="1:26" ht="15.7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spans="1:26" ht="15.7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spans="1:26" ht="15.7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spans="1:26" ht="15.7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spans="1:26" ht="15.7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spans="1:26" ht="15.7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spans="1:26" ht="15.7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spans="1:26" ht="15.7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spans="1:26" ht="15.7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spans="1:26" ht="15.7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spans="1:26" ht="15.7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spans="1:26" ht="15.7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spans="1:26" ht="15.7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spans="1:26" ht="15.7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spans="1:26" ht="15.7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spans="1:26" ht="15.7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spans="1:26" ht="15.7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spans="1:26" ht="15.7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spans="1:26" ht="15.7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spans="1:26" ht="15.7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spans="1:26" ht="15.7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spans="1:26" ht="15.7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spans="1:26" ht="15.7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spans="1:26" ht="15.7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spans="1:26" ht="15.7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spans="1:26" ht="15.7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spans="1:26" ht="15.7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spans="1:26" ht="15.7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spans="1:26" ht="15.7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spans="1:26" ht="15.7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spans="1:26" ht="15.7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spans="1:26" ht="15.7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spans="1:26" ht="15.7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spans="1:26" ht="15.7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spans="1:26" ht="15.7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spans="1:26" ht="15.7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spans="1:26" ht="15.7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spans="1:26" ht="15.7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spans="1:26" ht="15.7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spans="1:26" ht="15.7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spans="1:26" ht="15.7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spans="1:26" ht="15.7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spans="1:26" ht="15.7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spans="1:26" ht="15.7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spans="1:26" ht="15.7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spans="1:26" ht="15.7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spans="1:26" ht="15.7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spans="1:26" ht="15.7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spans="1:26" ht="15.7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spans="1:26" ht="15.7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spans="1:26" ht="15.7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spans="1:26" ht="15.7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spans="1:26" ht="15.7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spans="1:26" ht="15.7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spans="1:26" ht="15.7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spans="1:26" ht="15.7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spans="1:26" ht="15.7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spans="1:26" ht="15.7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spans="1:26" ht="15.7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spans="1:26" ht="15.7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spans="1:26" ht="15.7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spans="1:26" ht="15.7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spans="1:26" ht="15.7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spans="1:26" ht="15.7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spans="1:26" ht="15.7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spans="1:26" ht="15.7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spans="1:26" ht="15.7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spans="1:26" ht="15.7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spans="1:26" ht="15.7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spans="1:26" ht="15.7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spans="1:26" ht="15.7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spans="1:26" ht="15.7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spans="1:26" ht="15.7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spans="1:26" ht="15.7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spans="1:26" ht="15.7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spans="1:26" ht="15.7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spans="1:26" ht="15.7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spans="1:26" ht="15.7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spans="1:26" ht="15.7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spans="1:26" ht="15.7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spans="1:26" ht="15.7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spans="1:26" ht="15.7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spans="1:26" ht="15.7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spans="1:26" ht="15.7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spans="1:26" ht="15.7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spans="1:26" ht="15.7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spans="1:26" ht="15.7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spans="1:26" ht="15.7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spans="1:26" ht="15.7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spans="1:26" ht="15.7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spans="1:26" ht="15.7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spans="1:26" ht="15.7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spans="1:26" ht="15.7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spans="1:26" ht="15.7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spans="1:26" ht="15.7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spans="1:26" ht="15.7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spans="1:26" ht="15.7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spans="1:26" ht="15.7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spans="1:26" ht="15.7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spans="1:26" ht="15.7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spans="1:26" ht="15.7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spans="1:26" ht="15.7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spans="1:26" ht="15.7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spans="1:26" ht="15.7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spans="1:26" ht="15.7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spans="1:26" ht="15.7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spans="1:26" ht="15.7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spans="1:26" ht="15.7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spans="1:26" ht="15.7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spans="1:26" ht="15.7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spans="1:26" ht="15.7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spans="1:26" ht="15.7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spans="1:26" ht="15.7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spans="1:26" ht="15.7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spans="1:26" ht="15.7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spans="1:26" ht="15.7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spans="1:26" ht="15.7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spans="1:26" ht="15.7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spans="1:26" ht="15.7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spans="1:26" ht="15.7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spans="1:26" ht="15.7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spans="1:26" ht="15.7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spans="1:26" ht="15.7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spans="1:26" ht="15.7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spans="1:26" ht="15.7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spans="1:26" ht="15.7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spans="1:26" ht="15.7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spans="1:26" ht="15.7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spans="1:26" ht="15.7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spans="1:26" ht="15.7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spans="1:26" ht="15.7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spans="1:26" ht="15.7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spans="1:26" ht="15.7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spans="1:26" ht="15.7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spans="1:26" ht="15.7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spans="1:26" ht="15.7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spans="1:26" ht="15.7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spans="1:26" ht="15.7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spans="1:26" ht="15.7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spans="1:26" ht="15.7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spans="1:26" ht="15.7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spans="1:26" ht="15.7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spans="1:26" ht="15.7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spans="1:26" ht="15.7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spans="1:26" ht="15.7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spans="1:26" ht="15.7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spans="1:26" ht="15.7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spans="1:26" ht="15.7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spans="1:26" ht="15.7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spans="1:26" ht="15.7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spans="1:26" ht="15.7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spans="1:26" ht="15.7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spans="1:26" ht="15.7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spans="1:26" ht="15.7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spans="1:26" ht="15.7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spans="1:26" ht="15.7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spans="1:26" ht="15.7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spans="1:26" ht="15.7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spans="1:26" ht="15.7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spans="1:26" ht="15.7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spans="1:26" ht="15.7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spans="1:26" ht="15.7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spans="1:26" ht="15.7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spans="1:26" ht="15.7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spans="1:26" ht="15.7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spans="1:26" ht="15.7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spans="1:26" ht="15.7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spans="1:26" ht="15.7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spans="1:26" ht="15.7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spans="1:26" ht="15.7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spans="1:26" ht="15.7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spans="1:26" ht="15.7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spans="1:26" ht="15.7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spans="1:26" ht="15.7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spans="1:26" ht="15.7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spans="1:26" ht="15.7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spans="1:26" ht="15.7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spans="1:26" ht="15.7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spans="1:26" ht="15.7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spans="1:26" ht="15.7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spans="1:26" ht="15.7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spans="1:26" ht="15.7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spans="1:26" ht="15.7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spans="1:26" ht="15.7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spans="1:26" ht="15.7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spans="1:26" ht="15.7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spans="1:26" ht="15.7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spans="1:26" ht="15.7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spans="1:26" ht="15.7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spans="1:26" ht="15.7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spans="1:26" ht="15.7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spans="1:26" ht="15.7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spans="1:26" ht="15.7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spans="1:26" ht="15.7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spans="1:26" ht="15.7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spans="1:26" ht="15.7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spans="1:26" ht="15.7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spans="1:26" ht="15.7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spans="1:26" ht="15.7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spans="1:26" ht="15.7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spans="1:26" ht="15.7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spans="1:26" ht="15.7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spans="1:26" ht="15.7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spans="1:26" ht="15.7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spans="1:26" ht="15.7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spans="1:26" ht="15.7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spans="1:26" ht="15.7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spans="1:26" ht="15.7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spans="1:26" ht="15.7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spans="1:26" ht="15.7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spans="1:26" ht="15.7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spans="1:26" ht="15.7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spans="1:26" ht="15.7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spans="1:26" ht="15.7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spans="1:26" ht="15.7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spans="1:26" ht="15.7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spans="1:26" ht="15.7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spans="1:26" ht="15.7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spans="1:26" ht="15.7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spans="1:26" ht="15.7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spans="1:26" ht="15.7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spans="1:26" ht="15.7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spans="1:26" ht="15.7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spans="1:26" ht="15.7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spans="1:26" ht="15.7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spans="1:26" ht="15.7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spans="1:26" ht="15.7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spans="1:26" ht="15.7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spans="1:26" ht="15.7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spans="1:26" ht="15.7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spans="1:26" ht="15.7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spans="1:26" ht="15.7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spans="1:26" ht="15.7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spans="1:26" ht="15.7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spans="1:26" ht="15.7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spans="1:26" ht="15.7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spans="1:26" ht="15.7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spans="1:26" ht="15.7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spans="1:26" ht="15.7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spans="1:26" ht="15.7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spans="1:26" ht="15.7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spans="1:26" ht="15.7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spans="1:26" ht="15.7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spans="1:26" ht="15.7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spans="1:26" ht="15.7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spans="1:26" ht="15.7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spans="1:26" ht="15.7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spans="1:26" ht="15.7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spans="1:26" ht="15.7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spans="1:26" ht="15.7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spans="1:26" ht="15.7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spans="1:26" ht="15.7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spans="1:26" ht="15.7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spans="1:26" ht="15.7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spans="1:26" ht="15.7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spans="1:26" ht="15.7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spans="1:26" ht="15.7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spans="1:26" ht="15.7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spans="1:26" ht="15.7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spans="1:26" ht="15.7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spans="1:26" ht="15.7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spans="1:26" ht="15.7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spans="1:26" ht="15.7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spans="1:26" ht="15.7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spans="1:26" ht="15.7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spans="1:26" ht="15.7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spans="1:26" ht="15.7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spans="1:26" ht="15.7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spans="1:26" ht="15.7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spans="1:26" ht="15.7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spans="1:26" ht="15.7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spans="1:26" ht="15.7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spans="1:26" ht="15.7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spans="1:26" ht="15.7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spans="1:26" ht="15.7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spans="1:26" ht="15.7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spans="1:26" ht="15.7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spans="1:26" ht="15.7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spans="1:26" ht="15.7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spans="1:26" ht="15.7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spans="1:26" ht="15.7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spans="1:26" ht="15.7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spans="1:26" ht="15.7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spans="1:26" ht="15.7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spans="1:26" ht="15.7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spans="1:26" ht="15.7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spans="1:26" ht="15.7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spans="1:26" ht="15.7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spans="1:26" ht="15.7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spans="1:26" ht="15.7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spans="1:26" ht="15.7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spans="1:26" ht="15.7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spans="1:26" ht="15.7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spans="1:26" ht="15.7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spans="1:26" ht="15.7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spans="1:26" ht="15.7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spans="1:26" ht="15.7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spans="1:26" ht="15.7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spans="1:26" ht="15.7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spans="1:26" ht="15.7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spans="1:26" ht="15.7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spans="1:26" ht="15.7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spans="1:26" ht="15.7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spans="1:26" ht="15.7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spans="1:26" ht="15.7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spans="1:26" ht="15.7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spans="1:26" ht="15.7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spans="1:26" ht="15.7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spans="1:26" ht="15.7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spans="1:26" ht="15.7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spans="1:26" ht="15.7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spans="1:26" ht="15.7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spans="1:26" ht="15.7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spans="1:26" ht="15.7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spans="1:26" ht="15.7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spans="1:26" ht="15.7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spans="1:26" ht="15.7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spans="1:26" ht="15.7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spans="1:26" ht="15.7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spans="1:26" ht="15.7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spans="1:26" ht="15.7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spans="1:26" ht="15.7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spans="1:26" ht="15.7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spans="1:26" ht="15.7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spans="1:26" ht="15.7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spans="1:26" ht="15.7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spans="1:26" ht="15.7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spans="1:26" ht="15.7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spans="1:26" ht="15.7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spans="1:26" ht="15.7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spans="1:26" ht="15.7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spans="1:26" ht="15.7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spans="1:26" ht="15.7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spans="1:26" ht="15.7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spans="1:26" ht="15.7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spans="1:26" ht="15.7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spans="1:26" ht="15.7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spans="1:26" ht="15.7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spans="1:26" ht="15.7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spans="1:26" ht="15.7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spans="1:26" ht="15.7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spans="1:26" ht="15.7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spans="1:26" ht="15.7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spans="1:26" ht="15.7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spans="1:26" ht="15.7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spans="1:26" ht="15.7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spans="1:26" ht="15.7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spans="1:26" ht="15.7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spans="1:26" ht="15.7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spans="1:26" ht="15.7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spans="1:26" ht="15.7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spans="1:26" ht="15.7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spans="1:26" ht="15.7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spans="1:26" ht="15.7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spans="1:26" ht="15.7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spans="1:26" ht="15.7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spans="1:26" ht="15.7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spans="1:26" ht="15.7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spans="1:26" ht="15.7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spans="1:26" ht="15.7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spans="1:26" ht="15.7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spans="1:26" ht="15.7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spans="1:26" ht="15.7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spans="1:26" ht="15.7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spans="1:26" ht="15.7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spans="1:26" ht="15.7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spans="1:26" ht="15.7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spans="1:26" ht="15.7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spans="1:26" ht="15.7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spans="1:26" ht="15.7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spans="1:26" ht="15.7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spans="1:26" ht="15.7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spans="1:26" ht="15.7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spans="1:26" ht="15.7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spans="1:26" ht="15.7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spans="1:26" ht="15.7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spans="1:26" ht="15.7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spans="1:26" ht="15.7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spans="1:26" ht="15.7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spans="1:26" ht="15.7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spans="1:26" ht="15.7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spans="1:26" ht="15.7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spans="1:26" ht="15.7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spans="1:26" ht="15.7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spans="1:26" ht="15.7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spans="1:26" ht="15.7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spans="1:26" ht="15.7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spans="1:26" ht="15.7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spans="1:26" ht="15.7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spans="1:26" ht="15.7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spans="1:26" ht="15.7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spans="1:26" ht="15.7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spans="1:26" ht="15.7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spans="1:26" ht="15.7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spans="1:26" ht="15.7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spans="1:26" ht="15.7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spans="1:26" ht="15.7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spans="1:26" ht="15.7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spans="1:26" ht="15.7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spans="1:26" ht="15.7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spans="1:26" ht="15.7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spans="1:26" ht="15.7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spans="1:26" ht="15.7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spans="1:26" ht="15.7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spans="1:26" ht="15.7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spans="1:26" ht="15.7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spans="1:26" ht="15.7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spans="1:26" ht="15.7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spans="1:26" ht="15.7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spans="1:26" ht="15.7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spans="1:26" ht="15.7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spans="1:26" ht="15.7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spans="1:26" ht="15.7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spans="1:26" ht="15.7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spans="1:26" ht="15.7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spans="1:26" ht="15.7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spans="1:26" ht="15.7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spans="1:26" ht="15.7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spans="1:26" ht="15.7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spans="1:26" ht="15.7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spans="1:26" ht="15.7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spans="1:26" ht="15.7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spans="1:26" ht="15.7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spans="1:26" ht="15.7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spans="1:26" ht="15.7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spans="1:26" ht="15.7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spans="1:26" ht="15.7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spans="1:26" ht="15.7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spans="1:26" ht="15.7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spans="1:26" ht="15.7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spans="1:26" ht="15.7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spans="1:26" ht="15.7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spans="1:26" ht="15.7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spans="1:26" ht="15.7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spans="1:26" ht="15.7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spans="1:26" ht="15.7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spans="1:26" ht="15.7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spans="1:26" ht="15.7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spans="1:26" ht="15.7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spans="1:26" ht="15.7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spans="1:26" ht="15.7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spans="1:26" ht="15.7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spans="1:26" ht="15.7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spans="1:26" ht="15.7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spans="1:26" ht="15.7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spans="1:26" ht="15.7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spans="1:26" ht="15.7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spans="1:26" ht="15.7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spans="1:26" ht="15.7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spans="1:26" ht="15.7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spans="1:26" ht="15.7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spans="1:26" ht="15.7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spans="1:26" ht="15.7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spans="1:26" ht="15.7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spans="1:26" ht="15.7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spans="1:26" ht="15.7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spans="1:26" ht="15.7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spans="1:26" ht="15.7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spans="1:26" ht="15.7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spans="1:26" ht="15.7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spans="1:26" ht="15.7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spans="1:26" ht="15.7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spans="1:26" ht="15.7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spans="1:26" ht="15.7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spans="1:26" ht="15.7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spans="1:26" ht="15.7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spans="1:26" ht="15.7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spans="1:26" ht="15.7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spans="1:26" ht="15.7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spans="1:26" ht="15.7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spans="1:26" ht="15.7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spans="1:26" ht="15.7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spans="1:26" ht="15.7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spans="1:26" ht="15.7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spans="1:26" ht="15.7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spans="1:26" ht="15.7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spans="1:26" ht="15.7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spans="1:26" ht="15.7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spans="1:26" ht="15.7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spans="1:26" ht="15.7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spans="1:26" ht="15.7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spans="1:26" ht="15.7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spans="1:26" ht="15.7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spans="1:26" ht="15.7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spans="1:26" ht="15.7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spans="1:26" ht="15.7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spans="1:26" ht="15.7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spans="1:26" ht="15.7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spans="1:26" ht="15.7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spans="1:26" ht="15.7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spans="1:26" ht="15.7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spans="1:26" ht="15.7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spans="1:26" ht="15.7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spans="1:26" ht="15.7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spans="1:26" ht="15.7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spans="1:26" ht="15.7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spans="1:26" ht="15.7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spans="1:26" ht="15.7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spans="1:26" ht="15.7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spans="1:26" ht="15.7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spans="1:26" ht="15.7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spans="1:26" ht="15.7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spans="1:26" ht="15.7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spans="1:26" ht="15.7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spans="1:26" ht="15.7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spans="1:26" ht="15.7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spans="1:26" ht="15.7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spans="1:26" ht="15.7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spans="1:26" ht="15.7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spans="1:26" ht="15.7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spans="1:26" ht="15.7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spans="1:26" ht="15.7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spans="1:26" ht="15.7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spans="1:26" ht="15.7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spans="1:26" ht="15.7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spans="1:26" ht="15.7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spans="1:26" ht="15.7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spans="1:26" ht="15.7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spans="1:26" ht="15.7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spans="1:26" ht="15.7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spans="1:26" ht="15.7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spans="1:26" ht="15.7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spans="1:26" ht="15.7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spans="1:26" ht="15.7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spans="1:26" ht="15.7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spans="1:26" ht="15.7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spans="1:26" ht="15.7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spans="1:26" ht="15.7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spans="1:26" ht="15.7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spans="1:26" ht="15.7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spans="1:26" ht="15.7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spans="1:26" ht="15.7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spans="1:26" ht="15.7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spans="1:26" ht="15.7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spans="1:26" ht="15.7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spans="1:26" ht="15.7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spans="1:26" ht="15.7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spans="1:26" ht="15.7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spans="1:26" ht="15.7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spans="1:26" ht="15.7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spans="1:26" ht="15.7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sheetData>
  <sheetProtection algorithmName="SHA-512" hashValue="zPoLdfHoI/kiN5x0ScZISAyZWFnMvLBxNEayfMq4HXW+cvDNPEXvHW9RrkmguBA6n4wUHu4s60dC9W0XdZ4fOA==" saltValue="eBYneM2N9ajiqd1S0xzOPg==" spinCount="100000" sheet="1" objects="1" scenarios="1" selectLockedCells="1"/>
  <hyperlinks>
    <hyperlink ref="C13" r:id="rId1" xr:uid="{29F1A0D3-9B3F-4244-B842-CC8BB1ABAA5F}"/>
    <hyperlink ref="F19" r:id="rId2" xr:uid="{35C937A6-2976-4BA5-B9EE-AE74B27B3FCD}"/>
  </hyperlinks>
  <pageMargins left="0.7" right="0.7" top="0.75" bottom="0.75" header="0" footer="0"/>
  <pageSetup paperSize="9"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74F1F-21E5-4C90-8943-CEC55E9672F7}">
  <sheetPr>
    <tabColor rgb="FF3F3F3F"/>
    <pageSetUpPr fitToPage="1"/>
  </sheetPr>
  <dimension ref="A1:Z1005"/>
  <sheetViews>
    <sheetView showGridLines="0" workbookViewId="0">
      <selection activeCell="C26" sqref="C26"/>
    </sheetView>
  </sheetViews>
  <sheetFormatPr defaultColWidth="14.42578125" defaultRowHeight="15" customHeight="1"/>
  <cols>
    <col min="1" max="1" width="9.140625" style="37" customWidth="1"/>
    <col min="2" max="2" width="5.140625" style="37" customWidth="1"/>
    <col min="3" max="3" width="52" style="37" customWidth="1"/>
    <col min="4" max="4" width="13.42578125" style="37" customWidth="1"/>
    <col min="5" max="5" width="13.140625" style="37" customWidth="1"/>
    <col min="6" max="6" width="14.42578125" style="37" customWidth="1"/>
    <col min="7" max="7" width="13.85546875" style="37" customWidth="1"/>
    <col min="8" max="16" width="9.140625" style="37" customWidth="1"/>
    <col min="17" max="17" width="13.5703125" style="37" customWidth="1"/>
    <col min="18" max="18" width="9.140625" style="37" customWidth="1"/>
    <col min="19" max="19" width="5.140625" style="37" customWidth="1"/>
    <col min="20" max="20" width="9.140625" style="37" customWidth="1"/>
    <col min="21" max="26" width="8.85546875" style="37" customWidth="1"/>
    <col min="27" max="16384" width="14.42578125" style="37"/>
  </cols>
  <sheetData>
    <row r="1" spans="1:26" ht="33.75" customHeight="1">
      <c r="A1" s="52"/>
      <c r="B1" s="52"/>
      <c r="C1" s="52"/>
      <c r="D1" s="52"/>
      <c r="E1" s="52"/>
      <c r="F1" s="52"/>
      <c r="G1" s="52"/>
      <c r="H1" s="52"/>
      <c r="I1" s="52"/>
      <c r="J1" s="52"/>
      <c r="K1" s="52"/>
      <c r="L1" s="52"/>
      <c r="M1" s="52"/>
      <c r="N1" s="52"/>
      <c r="O1" s="52"/>
      <c r="P1" s="52"/>
      <c r="Q1" s="52"/>
      <c r="R1" s="52"/>
      <c r="S1" s="52"/>
      <c r="T1" s="52"/>
      <c r="U1" s="52"/>
      <c r="V1" s="52"/>
      <c r="W1" s="52"/>
      <c r="X1" s="52"/>
      <c r="Y1" s="52"/>
      <c r="Z1" s="52"/>
    </row>
    <row r="2" spans="1:26" ht="14.45">
      <c r="A2" s="52"/>
      <c r="B2" s="53"/>
      <c r="C2" s="53"/>
      <c r="D2" s="53"/>
      <c r="E2" s="53"/>
      <c r="F2" s="53"/>
      <c r="G2" s="53"/>
      <c r="H2" s="53"/>
      <c r="I2" s="53"/>
      <c r="J2" s="53"/>
      <c r="K2" s="53"/>
      <c r="L2" s="53"/>
      <c r="M2" s="53"/>
      <c r="N2" s="53"/>
      <c r="O2" s="53"/>
      <c r="P2" s="53"/>
      <c r="Q2" s="53"/>
      <c r="R2" s="53"/>
      <c r="S2" s="53"/>
      <c r="T2" s="52"/>
      <c r="U2" s="52"/>
      <c r="V2" s="52"/>
      <c r="W2" s="52"/>
      <c r="X2" s="52"/>
      <c r="Y2" s="52"/>
      <c r="Z2" s="52"/>
    </row>
    <row r="3" spans="1:26" ht="14.45">
      <c r="A3" s="52"/>
      <c r="B3" s="53"/>
      <c r="C3" s="53"/>
      <c r="D3" s="53"/>
      <c r="E3" s="53"/>
      <c r="F3" s="53"/>
      <c r="G3" s="53"/>
      <c r="H3" s="53"/>
      <c r="I3" s="53"/>
      <c r="J3" s="53"/>
      <c r="K3" s="53"/>
      <c r="L3" s="53"/>
      <c r="M3" s="53"/>
      <c r="N3" s="53"/>
      <c r="O3" s="53"/>
      <c r="P3" s="53"/>
      <c r="Q3" s="53"/>
      <c r="R3" s="53"/>
      <c r="S3" s="53"/>
      <c r="T3" s="52"/>
      <c r="U3" s="52"/>
      <c r="V3" s="52"/>
      <c r="W3" s="52"/>
      <c r="X3" s="52"/>
      <c r="Y3" s="52"/>
      <c r="Z3" s="52"/>
    </row>
    <row r="4" spans="1:26" ht="14.45">
      <c r="A4" s="52"/>
      <c r="B4" s="53"/>
      <c r="C4" s="53"/>
      <c r="D4" s="53"/>
      <c r="E4" s="53"/>
      <c r="F4" s="53"/>
      <c r="G4" s="53"/>
      <c r="H4" s="53"/>
      <c r="I4" s="53"/>
      <c r="J4" s="53"/>
      <c r="K4" s="53"/>
      <c r="L4" s="53"/>
      <c r="M4" s="53"/>
      <c r="N4" s="53"/>
      <c r="O4" s="53"/>
      <c r="P4" s="53"/>
      <c r="Q4" s="53"/>
      <c r="R4" s="53"/>
      <c r="S4" s="53"/>
      <c r="T4" s="52"/>
      <c r="U4" s="52"/>
      <c r="V4" s="52"/>
      <c r="W4" s="52"/>
      <c r="X4" s="52"/>
      <c r="Y4" s="52"/>
      <c r="Z4" s="52"/>
    </row>
    <row r="5" spans="1:26" ht="14.45">
      <c r="A5" s="52"/>
      <c r="B5" s="53"/>
      <c r="C5" s="53"/>
      <c r="D5" s="53"/>
      <c r="E5" s="53"/>
      <c r="F5" s="53"/>
      <c r="G5" s="53"/>
      <c r="H5" s="53"/>
      <c r="I5" s="53"/>
      <c r="J5" s="53"/>
      <c r="K5" s="53"/>
      <c r="L5" s="53"/>
      <c r="M5" s="53"/>
      <c r="N5" s="53"/>
      <c r="O5" s="53"/>
      <c r="P5" s="53"/>
      <c r="Q5" s="53"/>
      <c r="R5" s="53"/>
      <c r="S5" s="53"/>
      <c r="T5" s="52"/>
      <c r="U5" s="52"/>
      <c r="V5" s="52"/>
      <c r="W5" s="52"/>
      <c r="X5" s="52"/>
      <c r="Y5" s="52"/>
      <c r="Z5" s="52"/>
    </row>
    <row r="6" spans="1:26" ht="14.45">
      <c r="A6" s="52"/>
      <c r="B6" s="53"/>
      <c r="C6" s="53"/>
      <c r="D6" s="53"/>
      <c r="E6" s="53"/>
      <c r="F6" s="53"/>
      <c r="G6" s="53"/>
      <c r="H6" s="53"/>
      <c r="I6" s="53"/>
      <c r="J6" s="53"/>
      <c r="K6" s="53"/>
      <c r="L6" s="53"/>
      <c r="M6" s="53"/>
      <c r="N6" s="53"/>
      <c r="O6" s="53"/>
      <c r="P6" s="53"/>
      <c r="Q6" s="53"/>
      <c r="R6" s="53"/>
      <c r="S6" s="53"/>
      <c r="T6" s="52"/>
      <c r="U6" s="52"/>
      <c r="V6" s="52"/>
      <c r="W6" s="52"/>
      <c r="X6" s="52"/>
      <c r="Y6" s="52"/>
      <c r="Z6" s="52"/>
    </row>
    <row r="7" spans="1:26" ht="14.45">
      <c r="A7" s="52"/>
      <c r="B7" s="53"/>
      <c r="C7" s="53"/>
      <c r="D7" s="53"/>
      <c r="E7" s="53"/>
      <c r="F7" s="53"/>
      <c r="G7" s="53"/>
      <c r="H7" s="53"/>
      <c r="I7" s="53"/>
      <c r="J7" s="53"/>
      <c r="K7" s="53"/>
      <c r="L7" s="53"/>
      <c r="M7" s="53"/>
      <c r="N7" s="53"/>
      <c r="O7" s="53"/>
      <c r="P7" s="53"/>
      <c r="Q7" s="53"/>
      <c r="R7" s="53"/>
      <c r="S7" s="53"/>
      <c r="T7" s="52"/>
      <c r="U7" s="52"/>
      <c r="V7" s="52"/>
      <c r="W7" s="52"/>
      <c r="X7" s="52"/>
      <c r="Y7" s="52"/>
      <c r="Z7" s="52"/>
    </row>
    <row r="8" spans="1:26" ht="14.45">
      <c r="A8" s="52"/>
      <c r="B8" s="39"/>
      <c r="C8" s="39"/>
      <c r="D8" s="39"/>
      <c r="E8" s="39"/>
      <c r="F8" s="39"/>
      <c r="G8" s="39"/>
      <c r="H8" s="39"/>
      <c r="I8" s="39"/>
      <c r="J8" s="39"/>
      <c r="K8" s="39"/>
      <c r="L8" s="39"/>
      <c r="M8" s="39"/>
      <c r="N8" s="39"/>
      <c r="O8" s="39"/>
      <c r="P8" s="39"/>
      <c r="Q8" s="39"/>
      <c r="R8" s="39"/>
      <c r="S8" s="39"/>
      <c r="T8" s="52"/>
      <c r="U8" s="52"/>
      <c r="V8" s="52"/>
      <c r="W8" s="52"/>
      <c r="X8" s="52"/>
      <c r="Y8" s="52"/>
      <c r="Z8" s="52"/>
    </row>
    <row r="9" spans="1:26" ht="17.45">
      <c r="A9" s="52"/>
      <c r="B9" s="39"/>
      <c r="C9" s="54" t="str">
        <f>Cover!C9</f>
        <v>Social Cost-Benefit Analysis Tool (Regio1st SCBA tool)</v>
      </c>
      <c r="D9" s="39"/>
      <c r="E9" s="39"/>
      <c r="F9" s="39"/>
      <c r="G9" s="39"/>
      <c r="H9" s="39"/>
      <c r="I9" s="39"/>
      <c r="J9" s="39"/>
      <c r="K9" s="39"/>
      <c r="L9" s="39"/>
      <c r="M9" s="39"/>
      <c r="N9" s="39"/>
      <c r="O9" s="39"/>
      <c r="P9" s="39"/>
      <c r="Q9" s="39"/>
      <c r="R9" s="39"/>
      <c r="S9" s="39"/>
      <c r="T9" s="52"/>
      <c r="U9" s="52"/>
      <c r="V9" s="52"/>
      <c r="W9" s="52"/>
      <c r="X9" s="52"/>
      <c r="Y9" s="52"/>
      <c r="Z9" s="52"/>
    </row>
    <row r="10" spans="1:26" ht="14.45">
      <c r="A10" s="52"/>
      <c r="B10" s="39"/>
      <c r="C10" s="39"/>
      <c r="D10" s="39"/>
      <c r="E10" s="39"/>
      <c r="F10" s="39"/>
      <c r="G10" s="39"/>
      <c r="H10" s="39"/>
      <c r="I10" s="39"/>
      <c r="J10" s="39"/>
      <c r="K10" s="39"/>
      <c r="L10" s="39"/>
      <c r="M10" s="39"/>
      <c r="N10" s="39"/>
      <c r="O10" s="39"/>
      <c r="P10" s="39"/>
      <c r="Q10" s="39"/>
      <c r="R10" s="39"/>
      <c r="S10" s="39"/>
      <c r="T10" s="52"/>
      <c r="U10" s="52"/>
      <c r="V10" s="52"/>
      <c r="W10" s="52"/>
      <c r="X10" s="52"/>
      <c r="Y10" s="52"/>
      <c r="Z10" s="52"/>
    </row>
    <row r="11" spans="1:26" ht="17.45">
      <c r="A11" s="52"/>
      <c r="B11" s="39"/>
      <c r="C11" s="55" t="s">
        <v>14</v>
      </c>
      <c r="D11" s="39"/>
      <c r="E11" s="39"/>
      <c r="F11" s="39"/>
      <c r="G11" s="39"/>
      <c r="H11" s="39"/>
      <c r="I11" s="39"/>
      <c r="J11" s="39"/>
      <c r="K11" s="39"/>
      <c r="L11" s="39"/>
      <c r="M11" s="39"/>
      <c r="N11" s="39"/>
      <c r="O11" s="39"/>
      <c r="P11" s="39"/>
      <c r="Q11" s="39"/>
      <c r="R11" s="39"/>
      <c r="S11" s="39"/>
      <c r="T11" s="52"/>
      <c r="U11" s="52"/>
      <c r="V11" s="52"/>
      <c r="W11" s="52"/>
      <c r="X11" s="52"/>
      <c r="Y11" s="52"/>
      <c r="Z11" s="52"/>
    </row>
    <row r="12" spans="1:26" ht="14.45">
      <c r="A12" s="52"/>
      <c r="B12" s="39"/>
      <c r="C12" s="39"/>
      <c r="D12" s="39"/>
      <c r="E12" s="39"/>
      <c r="F12" s="39"/>
      <c r="G12" s="39"/>
      <c r="H12" s="39"/>
      <c r="I12" s="39"/>
      <c r="J12" s="39"/>
      <c r="K12" s="39"/>
      <c r="L12" s="39"/>
      <c r="M12" s="39"/>
      <c r="N12" s="39"/>
      <c r="O12" s="39"/>
      <c r="P12" s="39"/>
      <c r="Q12" s="39"/>
      <c r="R12" s="39"/>
      <c r="S12" s="39"/>
      <c r="T12" s="52"/>
      <c r="U12" s="52"/>
      <c r="V12" s="52"/>
      <c r="W12" s="52"/>
      <c r="X12" s="52"/>
      <c r="Y12" s="52"/>
      <c r="Z12" s="52"/>
    </row>
    <row r="13" spans="1:26" ht="19.5" customHeight="1">
      <c r="A13" s="52"/>
      <c r="B13" s="52"/>
      <c r="C13" s="52"/>
      <c r="D13" s="52"/>
      <c r="E13" s="52"/>
      <c r="F13" s="52"/>
      <c r="G13" s="52"/>
      <c r="H13" s="52"/>
      <c r="I13" s="52"/>
      <c r="J13" s="52"/>
      <c r="K13" s="52"/>
      <c r="L13" s="52"/>
      <c r="M13" s="52"/>
      <c r="N13" s="52"/>
      <c r="O13" s="52"/>
      <c r="P13" s="52"/>
      <c r="Q13" s="52"/>
      <c r="R13" s="52"/>
      <c r="S13" s="52"/>
      <c r="T13" s="52"/>
      <c r="U13" s="52"/>
      <c r="V13" s="52"/>
      <c r="W13" s="52"/>
      <c r="X13" s="52"/>
      <c r="Y13" s="52"/>
      <c r="Z13" s="52"/>
    </row>
    <row r="14" spans="1:26" ht="19.5" customHeight="1">
      <c r="A14" s="52"/>
      <c r="B14" s="53"/>
      <c r="C14" s="53"/>
      <c r="D14" s="53"/>
      <c r="E14" s="53"/>
      <c r="F14" s="53"/>
      <c r="G14" s="53"/>
      <c r="H14" s="53"/>
      <c r="I14" s="53"/>
      <c r="J14" s="53"/>
      <c r="K14" s="53"/>
      <c r="L14" s="53"/>
      <c r="M14" s="53"/>
      <c r="N14" s="53"/>
      <c r="O14" s="53"/>
      <c r="P14" s="53"/>
      <c r="Q14" s="53"/>
      <c r="R14" s="53"/>
      <c r="S14" s="53"/>
      <c r="T14" s="52"/>
      <c r="U14" s="52"/>
      <c r="V14" s="52"/>
      <c r="W14" s="52"/>
      <c r="X14" s="52"/>
      <c r="Y14" s="52"/>
      <c r="Z14" s="52"/>
    </row>
    <row r="15" spans="1:26" ht="19.5" customHeight="1" thickBot="1">
      <c r="A15" s="52"/>
      <c r="B15" s="53"/>
      <c r="C15" s="56" t="s">
        <v>15</v>
      </c>
      <c r="D15" s="56"/>
      <c r="E15" s="56"/>
      <c r="F15" s="56"/>
      <c r="G15" s="56"/>
      <c r="H15" s="56"/>
      <c r="I15" s="56"/>
      <c r="J15" s="56"/>
      <c r="K15" s="56"/>
      <c r="L15" s="56"/>
      <c r="M15" s="56"/>
      <c r="N15" s="56"/>
      <c r="O15" s="56"/>
      <c r="P15" s="56"/>
      <c r="Q15" s="56"/>
      <c r="R15" s="56"/>
      <c r="S15" s="53"/>
      <c r="T15" s="52"/>
      <c r="U15" s="52"/>
      <c r="V15" s="52"/>
      <c r="W15" s="52"/>
      <c r="X15" s="52"/>
      <c r="Y15" s="52"/>
      <c r="Z15" s="52"/>
    </row>
    <row r="16" spans="1:26" ht="19.5" customHeight="1" thickTop="1">
      <c r="A16" s="52"/>
      <c r="B16" s="53"/>
      <c r="C16" s="53"/>
      <c r="D16" s="53"/>
      <c r="E16" s="53"/>
      <c r="F16" s="53"/>
      <c r="G16" s="53"/>
      <c r="H16" s="53"/>
      <c r="I16" s="53"/>
      <c r="J16" s="53"/>
      <c r="K16" s="53"/>
      <c r="L16" s="53"/>
      <c r="M16" s="53"/>
      <c r="N16" s="53"/>
      <c r="O16" s="53"/>
      <c r="P16" s="53"/>
      <c r="Q16" s="53"/>
      <c r="R16" s="53"/>
      <c r="S16" s="53"/>
      <c r="T16" s="52"/>
      <c r="U16" s="52"/>
      <c r="V16" s="52"/>
      <c r="W16" s="52"/>
      <c r="X16" s="52"/>
      <c r="Y16" s="52"/>
      <c r="Z16" s="52"/>
    </row>
    <row r="17" spans="1:26" ht="17.100000000000001" thickBot="1">
      <c r="A17" s="52"/>
      <c r="B17" s="53"/>
      <c r="C17" s="57" t="s">
        <v>16</v>
      </c>
      <c r="D17" s="57"/>
      <c r="E17" s="57"/>
      <c r="F17" s="57"/>
      <c r="G17" s="57"/>
      <c r="H17" s="57"/>
      <c r="I17" s="57"/>
      <c r="J17" s="57"/>
      <c r="K17" s="57"/>
      <c r="L17" s="57"/>
      <c r="M17" s="57"/>
      <c r="N17" s="57"/>
      <c r="O17" s="57"/>
      <c r="P17" s="57"/>
      <c r="Q17" s="57"/>
      <c r="R17" s="57"/>
      <c r="S17" s="53"/>
      <c r="T17" s="52"/>
      <c r="U17" s="52"/>
      <c r="V17" s="52"/>
      <c r="W17" s="52"/>
      <c r="X17" s="52"/>
      <c r="Y17" s="52"/>
      <c r="Z17" s="52"/>
    </row>
    <row r="18" spans="1:26" ht="15" customHeight="1">
      <c r="A18" s="52"/>
      <c r="B18" s="53"/>
      <c r="C18" s="53"/>
      <c r="D18" s="53"/>
      <c r="E18" s="53"/>
      <c r="F18" s="53"/>
      <c r="G18" s="53"/>
      <c r="H18" s="53"/>
      <c r="I18" s="53"/>
      <c r="J18" s="53"/>
      <c r="K18" s="53"/>
      <c r="L18" s="53"/>
      <c r="M18" s="53"/>
      <c r="N18" s="53"/>
      <c r="O18" s="53"/>
      <c r="P18" s="53"/>
      <c r="Q18" s="53"/>
      <c r="R18" s="53"/>
      <c r="S18" s="53"/>
      <c r="T18" s="52"/>
      <c r="U18" s="52"/>
      <c r="V18" s="52"/>
      <c r="W18" s="52"/>
      <c r="X18" s="52"/>
      <c r="Y18" s="52"/>
      <c r="Z18" s="52"/>
    </row>
    <row r="19" spans="1:26" ht="52.5" customHeight="1">
      <c r="A19" s="52"/>
      <c r="B19" s="53"/>
      <c r="C19" s="210" t="s">
        <v>17</v>
      </c>
      <c r="D19" s="225"/>
      <c r="E19" s="225"/>
      <c r="F19" s="225"/>
      <c r="G19" s="225"/>
      <c r="H19" s="225"/>
      <c r="I19" s="225"/>
      <c r="J19" s="225"/>
      <c r="K19" s="225"/>
      <c r="L19" s="225"/>
      <c r="M19" s="225"/>
      <c r="N19" s="225"/>
      <c r="O19" s="225"/>
      <c r="P19" s="225"/>
      <c r="Q19" s="225"/>
      <c r="R19" s="225"/>
      <c r="S19" s="53"/>
      <c r="T19" s="52"/>
      <c r="U19" s="52"/>
      <c r="V19" s="52"/>
      <c r="W19" s="52"/>
      <c r="X19" s="52"/>
      <c r="Y19" s="52"/>
      <c r="Z19" s="52"/>
    </row>
    <row r="20" spans="1:26" ht="15.75" customHeight="1">
      <c r="A20" s="52"/>
      <c r="B20" s="53"/>
      <c r="C20" s="53"/>
      <c r="D20" s="53"/>
      <c r="E20" s="53"/>
      <c r="F20" s="53"/>
      <c r="G20" s="53"/>
      <c r="H20" s="53"/>
      <c r="I20" s="53"/>
      <c r="J20" s="53"/>
      <c r="K20" s="53"/>
      <c r="L20" s="53"/>
      <c r="M20" s="53"/>
      <c r="N20" s="53"/>
      <c r="O20" s="53"/>
      <c r="P20" s="53"/>
      <c r="Q20" s="53"/>
      <c r="R20" s="53"/>
      <c r="S20" s="53"/>
      <c r="T20" s="52"/>
      <c r="U20" s="52"/>
      <c r="V20" s="52"/>
      <c r="W20" s="52"/>
      <c r="X20" s="52"/>
      <c r="Y20" s="52"/>
      <c r="Z20" s="52"/>
    </row>
    <row r="21" spans="1:26" ht="15.75" customHeight="1" thickBot="1">
      <c r="A21" s="52"/>
      <c r="B21" s="53"/>
      <c r="C21" s="57" t="s">
        <v>18</v>
      </c>
      <c r="D21" s="57"/>
      <c r="E21" s="57"/>
      <c r="F21" s="57"/>
      <c r="G21" s="57"/>
      <c r="H21" s="57"/>
      <c r="I21" s="57"/>
      <c r="J21" s="57"/>
      <c r="K21" s="57"/>
      <c r="L21" s="57"/>
      <c r="M21" s="57"/>
      <c r="N21" s="57"/>
      <c r="O21" s="57"/>
      <c r="P21" s="57"/>
      <c r="Q21" s="57"/>
      <c r="R21" s="57"/>
      <c r="S21" s="53"/>
      <c r="T21" s="52"/>
      <c r="U21" s="52"/>
      <c r="V21" s="52"/>
      <c r="W21" s="52"/>
      <c r="X21" s="52"/>
      <c r="Y21" s="52"/>
      <c r="Z21" s="52"/>
    </row>
    <row r="22" spans="1:26" ht="15" customHeight="1">
      <c r="A22" s="52"/>
      <c r="B22" s="53"/>
      <c r="C22" s="53"/>
      <c r="D22" s="53"/>
      <c r="E22" s="53"/>
      <c r="F22" s="53"/>
      <c r="G22" s="53"/>
      <c r="H22" s="53"/>
      <c r="I22" s="53"/>
      <c r="J22" s="53"/>
      <c r="K22" s="53"/>
      <c r="L22" s="53"/>
      <c r="M22" s="53"/>
      <c r="N22" s="53"/>
      <c r="O22" s="53"/>
      <c r="P22" s="53"/>
      <c r="Q22" s="53"/>
      <c r="R22" s="53"/>
      <c r="S22" s="53"/>
      <c r="T22" s="52"/>
      <c r="U22" s="52"/>
      <c r="V22" s="52"/>
      <c r="W22" s="52"/>
      <c r="X22" s="52"/>
      <c r="Y22" s="52"/>
      <c r="Z22" s="52"/>
    </row>
    <row r="23" spans="1:26" ht="56.45" customHeight="1">
      <c r="A23" s="52"/>
      <c r="B23" s="53"/>
      <c r="C23" s="210" t="s">
        <v>19</v>
      </c>
      <c r="D23" s="225"/>
      <c r="E23" s="225"/>
      <c r="F23" s="225"/>
      <c r="G23" s="225"/>
      <c r="H23" s="225"/>
      <c r="I23" s="225"/>
      <c r="J23" s="225"/>
      <c r="K23" s="225"/>
      <c r="L23" s="225"/>
      <c r="M23" s="225"/>
      <c r="N23" s="225"/>
      <c r="O23" s="225"/>
      <c r="P23" s="225"/>
      <c r="Q23" s="225"/>
      <c r="R23" s="225"/>
      <c r="S23" s="53"/>
      <c r="T23" s="52"/>
      <c r="U23" s="52"/>
      <c r="V23" s="52"/>
      <c r="W23" s="52"/>
      <c r="X23" s="52"/>
      <c r="Y23" s="52"/>
      <c r="Z23" s="52"/>
    </row>
    <row r="24" spans="1:26" ht="24.6" customHeight="1" thickBot="1">
      <c r="A24" s="52"/>
      <c r="B24" s="53"/>
      <c r="C24" s="57" t="s">
        <v>20</v>
      </c>
      <c r="D24" s="57"/>
      <c r="E24" s="57"/>
      <c r="F24" s="57"/>
      <c r="G24" s="57"/>
      <c r="H24" s="57"/>
      <c r="I24" s="57"/>
      <c r="J24" s="57"/>
      <c r="K24" s="57"/>
      <c r="L24" s="57"/>
      <c r="M24" s="57"/>
      <c r="N24" s="57"/>
      <c r="O24" s="57"/>
      <c r="P24" s="57"/>
      <c r="Q24" s="57"/>
      <c r="R24" s="57"/>
      <c r="S24" s="53"/>
      <c r="T24" s="52"/>
      <c r="U24" s="52"/>
      <c r="V24" s="52"/>
      <c r="W24" s="52"/>
      <c r="X24" s="52"/>
      <c r="Y24" s="52"/>
      <c r="Z24" s="52"/>
    </row>
    <row r="25" spans="1:26" ht="49.5" customHeight="1">
      <c r="A25" s="52"/>
      <c r="B25" s="53"/>
      <c r="C25" s="111" t="s">
        <v>21</v>
      </c>
      <c r="D25" s="212" t="s">
        <v>22</v>
      </c>
      <c r="E25" s="212"/>
      <c r="F25" s="212"/>
      <c r="G25" s="212"/>
      <c r="H25" s="212"/>
      <c r="I25" s="212"/>
      <c r="J25" s="212"/>
      <c r="K25" s="212"/>
      <c r="L25" s="212"/>
      <c r="M25" s="212"/>
      <c r="N25" s="212"/>
      <c r="O25" s="212"/>
      <c r="P25" s="212"/>
      <c r="Q25" s="212"/>
      <c r="R25" s="212"/>
      <c r="S25" s="53"/>
      <c r="T25" s="52"/>
      <c r="U25" s="52"/>
      <c r="V25" s="52"/>
      <c r="W25" s="52"/>
      <c r="X25" s="52"/>
      <c r="Y25" s="52"/>
      <c r="Z25" s="52"/>
    </row>
    <row r="26" spans="1:26" ht="36.75" customHeight="1">
      <c r="A26" s="52"/>
      <c r="B26" s="53"/>
      <c r="C26" s="111" t="s">
        <v>23</v>
      </c>
      <c r="D26" s="211" t="s">
        <v>24</v>
      </c>
      <c r="E26" s="211"/>
      <c r="F26" s="211"/>
      <c r="G26" s="211"/>
      <c r="H26" s="211"/>
      <c r="I26" s="211"/>
      <c r="J26" s="211"/>
      <c r="K26" s="211"/>
      <c r="L26" s="211"/>
      <c r="M26" s="211"/>
      <c r="N26" s="211"/>
      <c r="O26" s="211"/>
      <c r="P26" s="211"/>
      <c r="Q26" s="211"/>
      <c r="R26" s="211"/>
      <c r="S26" s="53"/>
      <c r="T26" s="52"/>
      <c r="U26" s="52"/>
      <c r="V26" s="52"/>
      <c r="W26" s="52"/>
      <c r="X26" s="52"/>
      <c r="Y26" s="52"/>
      <c r="Z26" s="52"/>
    </row>
    <row r="27" spans="1:26" ht="36" customHeight="1">
      <c r="A27" s="52"/>
      <c r="B27" s="53"/>
      <c r="C27" s="111" t="s">
        <v>25</v>
      </c>
      <c r="D27" s="211" t="s">
        <v>26</v>
      </c>
      <c r="E27" s="213"/>
      <c r="F27" s="213"/>
      <c r="G27" s="213"/>
      <c r="H27" s="213"/>
      <c r="I27" s="213"/>
      <c r="J27" s="213"/>
      <c r="K27" s="213"/>
      <c r="L27" s="213"/>
      <c r="M27" s="213"/>
      <c r="N27" s="213"/>
      <c r="O27" s="213"/>
      <c r="P27" s="213"/>
      <c r="Q27" s="213"/>
      <c r="R27" s="213"/>
      <c r="S27" s="53"/>
      <c r="T27" s="52"/>
      <c r="U27" s="52"/>
      <c r="V27" s="52"/>
      <c r="W27" s="52"/>
      <c r="X27" s="52"/>
      <c r="Y27" s="52"/>
      <c r="Z27" s="52"/>
    </row>
    <row r="28" spans="1:26" ht="33.950000000000003" customHeight="1">
      <c r="A28" s="52"/>
      <c r="B28" s="53"/>
      <c r="C28" s="111" t="s">
        <v>27</v>
      </c>
      <c r="D28" s="211" t="s">
        <v>28</v>
      </c>
      <c r="E28" s="211"/>
      <c r="F28" s="211"/>
      <c r="G28" s="211"/>
      <c r="H28" s="211"/>
      <c r="I28" s="211"/>
      <c r="J28" s="211"/>
      <c r="K28" s="211"/>
      <c r="L28" s="211"/>
      <c r="M28" s="211"/>
      <c r="N28" s="211"/>
      <c r="O28" s="211"/>
      <c r="P28" s="211"/>
      <c r="Q28" s="211"/>
      <c r="R28" s="211"/>
      <c r="S28" s="53"/>
      <c r="T28" s="52"/>
      <c r="U28" s="52"/>
      <c r="V28" s="52"/>
      <c r="W28" s="52"/>
      <c r="X28" s="52"/>
      <c r="Y28" s="52"/>
      <c r="Z28" s="52"/>
    </row>
    <row r="29" spans="1:26" ht="48.6" customHeight="1">
      <c r="A29" s="52"/>
      <c r="B29" s="53"/>
      <c r="C29" s="111" t="s">
        <v>29</v>
      </c>
      <c r="D29" s="211" t="s">
        <v>30</v>
      </c>
      <c r="E29" s="211"/>
      <c r="F29" s="211"/>
      <c r="G29" s="211"/>
      <c r="H29" s="211"/>
      <c r="I29" s="211"/>
      <c r="J29" s="211"/>
      <c r="K29" s="211"/>
      <c r="L29" s="211"/>
      <c r="M29" s="211"/>
      <c r="N29" s="211"/>
      <c r="O29" s="211"/>
      <c r="P29" s="211"/>
      <c r="Q29" s="211"/>
      <c r="R29" s="211"/>
      <c r="S29" s="53"/>
      <c r="T29" s="52"/>
      <c r="U29" s="52"/>
      <c r="V29" s="52"/>
      <c r="W29" s="52"/>
      <c r="X29" s="52"/>
      <c r="Y29" s="52"/>
      <c r="Z29" s="52"/>
    </row>
    <row r="30" spans="1:26" ht="42" customHeight="1">
      <c r="A30" s="52"/>
      <c r="B30" s="53"/>
      <c r="C30" s="111" t="s">
        <v>31</v>
      </c>
      <c r="D30" s="211" t="s">
        <v>32</v>
      </c>
      <c r="E30" s="211"/>
      <c r="F30" s="211"/>
      <c r="G30" s="211"/>
      <c r="H30" s="211"/>
      <c r="I30" s="211"/>
      <c r="J30" s="211"/>
      <c r="K30" s="211"/>
      <c r="L30" s="211"/>
      <c r="M30" s="211"/>
      <c r="N30" s="211"/>
      <c r="O30" s="211"/>
      <c r="P30" s="211"/>
      <c r="Q30" s="211"/>
      <c r="R30" s="211"/>
      <c r="S30" s="53"/>
      <c r="T30" s="52"/>
      <c r="U30" s="52"/>
      <c r="V30" s="52"/>
      <c r="W30" s="52"/>
      <c r="X30" s="52"/>
      <c r="Y30" s="52"/>
      <c r="Z30" s="52"/>
    </row>
    <row r="31" spans="1:26" ht="36.6" customHeight="1">
      <c r="A31" s="52"/>
      <c r="B31" s="53"/>
      <c r="C31" s="210"/>
      <c r="D31" s="210"/>
      <c r="E31" s="210"/>
      <c r="F31" s="210"/>
      <c r="G31" s="210"/>
      <c r="H31" s="210"/>
      <c r="I31" s="210"/>
      <c r="J31" s="210"/>
      <c r="K31" s="210"/>
      <c r="L31" s="210"/>
      <c r="M31" s="210"/>
      <c r="N31" s="210"/>
      <c r="O31" s="210"/>
      <c r="P31" s="210"/>
      <c r="Q31" s="210"/>
      <c r="R31" s="210"/>
      <c r="S31" s="53"/>
      <c r="T31" s="52"/>
      <c r="U31" s="52"/>
      <c r="V31" s="52"/>
      <c r="W31" s="52"/>
      <c r="X31" s="52"/>
      <c r="Y31" s="52"/>
      <c r="Z31" s="52"/>
    </row>
    <row r="32" spans="1:26" ht="15.75" customHeight="1" thickBot="1">
      <c r="A32" s="52"/>
      <c r="B32" s="53"/>
      <c r="C32" s="57" t="s">
        <v>33</v>
      </c>
      <c r="D32" s="57"/>
      <c r="E32" s="57"/>
      <c r="F32" s="57"/>
      <c r="G32" s="57"/>
      <c r="H32" s="57"/>
      <c r="I32" s="57"/>
      <c r="J32" s="57"/>
      <c r="K32" s="57"/>
      <c r="L32" s="57"/>
      <c r="M32" s="57"/>
      <c r="N32" s="57"/>
      <c r="O32" s="57"/>
      <c r="P32" s="57"/>
      <c r="Q32" s="57"/>
      <c r="R32" s="57"/>
      <c r="S32" s="53"/>
      <c r="T32" s="52"/>
      <c r="U32" s="52"/>
      <c r="V32" s="52"/>
      <c r="W32" s="52"/>
      <c r="X32" s="52"/>
      <c r="Y32" s="52"/>
      <c r="Z32" s="52"/>
    </row>
    <row r="33" spans="1:26" ht="15" customHeight="1">
      <c r="A33" s="52"/>
      <c r="B33" s="53"/>
      <c r="C33" s="53"/>
      <c r="D33" s="53"/>
      <c r="E33" s="53"/>
      <c r="F33" s="53"/>
      <c r="G33" s="53"/>
      <c r="H33" s="53"/>
      <c r="I33" s="53"/>
      <c r="J33" s="53"/>
      <c r="K33" s="53"/>
      <c r="L33" s="53"/>
      <c r="M33" s="53"/>
      <c r="N33" s="53"/>
      <c r="O33" s="53"/>
      <c r="P33" s="53"/>
      <c r="Q33" s="53"/>
      <c r="R33" s="53"/>
      <c r="S33" s="53"/>
      <c r="T33" s="52"/>
      <c r="U33" s="52"/>
      <c r="V33" s="52"/>
      <c r="W33" s="52"/>
      <c r="X33" s="52"/>
      <c r="Y33" s="52"/>
      <c r="Z33" s="52"/>
    </row>
    <row r="34" spans="1:26" ht="15" customHeight="1">
      <c r="A34" s="52"/>
      <c r="B34" s="53"/>
      <c r="C34" s="53" t="s">
        <v>34</v>
      </c>
      <c r="D34" s="53"/>
      <c r="E34" s="53"/>
      <c r="F34" s="53"/>
      <c r="G34" s="53"/>
      <c r="H34" s="53"/>
      <c r="I34" s="53"/>
      <c r="J34" s="53"/>
      <c r="K34" s="53"/>
      <c r="L34" s="53"/>
      <c r="M34" s="53"/>
      <c r="N34" s="53"/>
      <c r="O34" s="53"/>
      <c r="P34" s="53"/>
      <c r="Q34" s="53"/>
      <c r="R34" s="53"/>
      <c r="S34" s="53"/>
      <c r="T34" s="52"/>
      <c r="U34" s="52"/>
      <c r="V34" s="52"/>
      <c r="W34" s="52"/>
      <c r="X34" s="52"/>
      <c r="Y34" s="52"/>
      <c r="Z34" s="52"/>
    </row>
    <row r="35" spans="1:26" ht="15" customHeight="1">
      <c r="A35" s="52"/>
      <c r="B35" s="53"/>
      <c r="C35" s="58" t="s">
        <v>35</v>
      </c>
      <c r="D35" s="58"/>
      <c r="E35" s="58"/>
      <c r="F35" s="58"/>
      <c r="G35" s="58"/>
      <c r="H35" s="58"/>
      <c r="I35" s="58"/>
      <c r="J35" s="58"/>
      <c r="K35" s="58"/>
      <c r="L35" s="58"/>
      <c r="M35" s="58"/>
      <c r="N35" s="58"/>
      <c r="O35" s="58"/>
      <c r="P35" s="58"/>
      <c r="Q35" s="58"/>
      <c r="R35" s="58"/>
      <c r="S35" s="53"/>
      <c r="T35" s="52"/>
      <c r="U35" s="52"/>
      <c r="V35" s="52"/>
      <c r="W35" s="52"/>
      <c r="X35" s="52"/>
      <c r="Y35" s="52"/>
      <c r="Z35" s="52"/>
    </row>
    <row r="36" spans="1:26" ht="16.5" customHeight="1">
      <c r="A36" s="52"/>
      <c r="B36" s="53"/>
      <c r="C36" s="210" t="s">
        <v>36</v>
      </c>
      <c r="D36" s="225"/>
      <c r="E36" s="225"/>
      <c r="F36" s="225"/>
      <c r="G36" s="225"/>
      <c r="H36" s="225"/>
      <c r="I36" s="225"/>
      <c r="J36" s="225"/>
      <c r="K36" s="225"/>
      <c r="L36" s="225"/>
      <c r="M36" s="225"/>
      <c r="N36" s="225"/>
      <c r="O36" s="225"/>
      <c r="P36" s="225"/>
      <c r="Q36" s="225"/>
      <c r="R36" s="225"/>
      <c r="S36" s="53"/>
      <c r="T36" s="52"/>
      <c r="U36" s="52"/>
      <c r="V36" s="52"/>
      <c r="W36" s="52"/>
      <c r="X36" s="52"/>
      <c r="Y36" s="52"/>
      <c r="Z36" s="52"/>
    </row>
    <row r="37" spans="1:26" ht="15" customHeight="1">
      <c r="A37" s="52"/>
      <c r="B37" s="53"/>
      <c r="C37" s="58" t="s">
        <v>37</v>
      </c>
      <c r="D37" s="58"/>
      <c r="E37" s="58"/>
      <c r="F37" s="58"/>
      <c r="G37" s="58"/>
      <c r="H37" s="58"/>
      <c r="I37" s="58"/>
      <c r="J37" s="58"/>
      <c r="K37" s="58"/>
      <c r="L37" s="58"/>
      <c r="M37" s="58"/>
      <c r="N37" s="58"/>
      <c r="O37" s="58"/>
      <c r="P37" s="58"/>
      <c r="Q37" s="58"/>
      <c r="R37" s="58"/>
      <c r="S37" s="53"/>
      <c r="T37" s="52"/>
      <c r="U37" s="52"/>
      <c r="V37" s="52"/>
      <c r="W37" s="52"/>
      <c r="X37" s="52"/>
      <c r="Y37" s="52"/>
      <c r="Z37" s="52"/>
    </row>
    <row r="38" spans="1:26" ht="15" customHeight="1">
      <c r="A38" s="52"/>
      <c r="B38" s="53"/>
      <c r="C38" s="58" t="s">
        <v>38</v>
      </c>
      <c r="D38" s="58"/>
      <c r="E38" s="58"/>
      <c r="F38" s="58"/>
      <c r="G38" s="58"/>
      <c r="H38" s="58"/>
      <c r="I38" s="58"/>
      <c r="J38" s="58"/>
      <c r="K38" s="58"/>
      <c r="L38" s="58"/>
      <c r="M38" s="58"/>
      <c r="N38" s="58"/>
      <c r="O38" s="58"/>
      <c r="P38" s="58"/>
      <c r="Q38" s="58"/>
      <c r="R38" s="58"/>
      <c r="S38" s="53"/>
      <c r="T38" s="52"/>
      <c r="U38" s="52"/>
      <c r="V38" s="52"/>
      <c r="W38" s="52"/>
      <c r="X38" s="52"/>
      <c r="Y38" s="52"/>
      <c r="Z38" s="52"/>
    </row>
    <row r="39" spans="1:26" ht="15" customHeight="1">
      <c r="A39" s="52"/>
      <c r="B39" s="53"/>
      <c r="C39" s="53"/>
      <c r="D39" s="53"/>
      <c r="E39" s="53"/>
      <c r="F39" s="53"/>
      <c r="G39" s="53"/>
      <c r="H39" s="53"/>
      <c r="I39" s="53"/>
      <c r="J39" s="53"/>
      <c r="K39" s="53"/>
      <c r="L39" s="53"/>
      <c r="M39" s="53"/>
      <c r="N39" s="53"/>
      <c r="O39" s="53"/>
      <c r="P39" s="53"/>
      <c r="Q39" s="53"/>
      <c r="R39" s="53"/>
      <c r="S39" s="53"/>
      <c r="T39" s="52"/>
      <c r="U39" s="52"/>
      <c r="V39" s="52"/>
      <c r="W39" s="52"/>
      <c r="X39" s="52"/>
      <c r="Y39" s="52"/>
      <c r="Z39" s="52"/>
    </row>
    <row r="40" spans="1:26" ht="15.75" customHeight="1" thickBot="1">
      <c r="A40" s="52"/>
      <c r="B40" s="53"/>
      <c r="C40" s="57" t="s">
        <v>39</v>
      </c>
      <c r="D40" s="57"/>
      <c r="E40" s="57"/>
      <c r="F40" s="57"/>
      <c r="G40" s="57"/>
      <c r="H40" s="57"/>
      <c r="I40" s="57"/>
      <c r="J40" s="57"/>
      <c r="K40" s="57"/>
      <c r="L40" s="57"/>
      <c r="M40" s="57"/>
      <c r="N40" s="57"/>
      <c r="O40" s="57"/>
      <c r="P40" s="57"/>
      <c r="Q40" s="57"/>
      <c r="R40" s="57"/>
      <c r="S40" s="53"/>
      <c r="T40" s="52"/>
      <c r="U40" s="52"/>
      <c r="V40" s="52"/>
      <c r="W40" s="52"/>
      <c r="X40" s="52"/>
      <c r="Y40" s="52"/>
      <c r="Z40" s="52"/>
    </row>
    <row r="41" spans="1:26" ht="15" customHeight="1">
      <c r="A41" s="52"/>
      <c r="B41" s="53"/>
      <c r="C41" s="53"/>
      <c r="D41" s="53"/>
      <c r="E41" s="53"/>
      <c r="F41" s="53"/>
      <c r="G41" s="53"/>
      <c r="H41" s="53"/>
      <c r="I41" s="53"/>
      <c r="J41" s="53"/>
      <c r="K41" s="53"/>
      <c r="L41" s="53"/>
      <c r="M41" s="53"/>
      <c r="N41" s="53"/>
      <c r="O41" s="53"/>
      <c r="P41" s="53"/>
      <c r="Q41" s="53"/>
      <c r="R41" s="53"/>
      <c r="S41" s="53"/>
      <c r="T41" s="52"/>
      <c r="U41" s="52"/>
      <c r="V41" s="52"/>
      <c r="W41" s="52"/>
      <c r="X41" s="52"/>
      <c r="Y41" s="52"/>
      <c r="Z41" s="52"/>
    </row>
    <row r="42" spans="1:26" ht="34.5" customHeight="1">
      <c r="A42" s="52"/>
      <c r="B42" s="53"/>
      <c r="C42" s="117" t="s">
        <v>40</v>
      </c>
      <c r="D42" s="210"/>
      <c r="E42" s="225"/>
      <c r="F42" s="225"/>
      <c r="G42" s="225"/>
      <c r="H42" s="225"/>
      <c r="I42" s="225"/>
      <c r="J42" s="225"/>
      <c r="K42" s="225"/>
      <c r="L42" s="225"/>
      <c r="M42" s="225"/>
      <c r="N42" s="225"/>
      <c r="O42" s="225"/>
      <c r="P42" s="225"/>
      <c r="Q42" s="225"/>
      <c r="R42" s="225"/>
      <c r="S42" s="53"/>
      <c r="T42" s="52"/>
      <c r="U42" s="52"/>
      <c r="V42" s="52"/>
      <c r="W42" s="52"/>
      <c r="X42" s="52"/>
      <c r="Y42" s="52"/>
      <c r="Z42" s="52"/>
    </row>
    <row r="43" spans="1:26" ht="27.75" customHeight="1">
      <c r="A43" s="52"/>
      <c r="B43" s="53"/>
      <c r="C43" s="116" t="s">
        <v>41</v>
      </c>
      <c r="D43" s="210" t="s">
        <v>42</v>
      </c>
      <c r="E43" s="225"/>
      <c r="F43" s="225"/>
      <c r="G43" s="225"/>
      <c r="H43" s="225"/>
      <c r="I43" s="225"/>
      <c r="J43" s="225"/>
      <c r="K43" s="225"/>
      <c r="L43" s="225"/>
      <c r="M43" s="225"/>
      <c r="N43" s="225"/>
      <c r="O43" s="225"/>
      <c r="P43" s="225"/>
      <c r="Q43" s="225"/>
      <c r="R43" s="225"/>
      <c r="S43" s="53"/>
      <c r="T43" s="52"/>
      <c r="U43" s="52"/>
      <c r="V43" s="52"/>
      <c r="W43" s="52"/>
      <c r="X43" s="52"/>
      <c r="Y43" s="52"/>
      <c r="Z43" s="52"/>
    </row>
    <row r="44" spans="1:26" ht="28.5" customHeight="1">
      <c r="A44" s="52"/>
      <c r="B44" s="53"/>
      <c r="C44" s="116" t="s">
        <v>43</v>
      </c>
      <c r="D44" s="210" t="s">
        <v>44</v>
      </c>
      <c r="E44" s="225"/>
      <c r="F44" s="225"/>
      <c r="G44" s="225"/>
      <c r="H44" s="225"/>
      <c r="I44" s="225"/>
      <c r="J44" s="225"/>
      <c r="K44" s="225"/>
      <c r="L44" s="225"/>
      <c r="M44" s="225"/>
      <c r="N44" s="225"/>
      <c r="O44" s="225"/>
      <c r="P44" s="225"/>
      <c r="Q44" s="225"/>
      <c r="R44" s="225"/>
      <c r="S44" s="53"/>
      <c r="T44" s="52"/>
      <c r="U44" s="52"/>
      <c r="V44" s="52"/>
      <c r="W44" s="52"/>
      <c r="X44" s="52"/>
      <c r="Y44" s="52"/>
      <c r="Z44" s="52"/>
    </row>
    <row r="45" spans="1:26" ht="37.5" customHeight="1">
      <c r="A45" s="52"/>
      <c r="B45" s="53"/>
      <c r="C45" s="116" t="s">
        <v>45</v>
      </c>
      <c r="D45" s="210" t="s">
        <v>46</v>
      </c>
      <c r="E45" s="225"/>
      <c r="F45" s="225"/>
      <c r="G45" s="225"/>
      <c r="H45" s="225"/>
      <c r="I45" s="225"/>
      <c r="J45" s="225"/>
      <c r="K45" s="225"/>
      <c r="L45" s="225"/>
      <c r="M45" s="225"/>
      <c r="N45" s="225"/>
      <c r="O45" s="225"/>
      <c r="P45" s="225"/>
      <c r="Q45" s="225"/>
      <c r="R45" s="225"/>
      <c r="S45" s="53"/>
      <c r="T45" s="52"/>
      <c r="U45" s="52"/>
      <c r="V45" s="52"/>
      <c r="W45" s="52"/>
      <c r="X45" s="52"/>
      <c r="Y45" s="52"/>
      <c r="Z45" s="52"/>
    </row>
    <row r="46" spans="1:26" ht="33.75" customHeight="1">
      <c r="A46" s="52"/>
      <c r="B46" s="53"/>
      <c r="C46" s="116" t="s">
        <v>47</v>
      </c>
      <c r="D46" s="210"/>
      <c r="E46" s="225"/>
      <c r="F46" s="225"/>
      <c r="G46" s="225"/>
      <c r="H46" s="225"/>
      <c r="I46" s="225"/>
      <c r="J46" s="225"/>
      <c r="K46" s="225"/>
      <c r="L46" s="225"/>
      <c r="M46" s="225"/>
      <c r="N46" s="225"/>
      <c r="O46" s="225"/>
      <c r="P46" s="225"/>
      <c r="Q46" s="225"/>
      <c r="R46" s="225"/>
      <c r="S46" s="53"/>
      <c r="T46" s="52"/>
      <c r="U46" s="52"/>
      <c r="V46" s="52"/>
      <c r="W46" s="52"/>
      <c r="X46" s="52"/>
      <c r="Y46" s="52"/>
      <c r="Z46" s="52"/>
    </row>
    <row r="47" spans="1:26" ht="15" customHeight="1">
      <c r="A47" s="52"/>
      <c r="B47" s="53"/>
      <c r="C47" s="59"/>
      <c r="D47" s="210"/>
      <c r="E47" s="225"/>
      <c r="F47" s="225"/>
      <c r="G47" s="225"/>
      <c r="H47" s="225"/>
      <c r="I47" s="225"/>
      <c r="J47" s="225"/>
      <c r="K47" s="225"/>
      <c r="L47" s="225"/>
      <c r="M47" s="225"/>
      <c r="N47" s="225"/>
      <c r="O47" s="225"/>
      <c r="P47" s="225"/>
      <c r="Q47" s="225"/>
      <c r="R47" s="225"/>
      <c r="S47" s="53"/>
      <c r="T47" s="52"/>
      <c r="U47" s="52"/>
      <c r="V47" s="52"/>
      <c r="W47" s="52"/>
      <c r="X47" s="52"/>
      <c r="Y47" s="52"/>
      <c r="Z47" s="52"/>
    </row>
    <row r="48" spans="1:26" ht="15" customHeight="1">
      <c r="A48" s="52"/>
      <c r="B48" s="53"/>
      <c r="C48" s="53"/>
      <c r="D48" s="53"/>
      <c r="E48" s="53"/>
      <c r="F48" s="53"/>
      <c r="G48" s="53"/>
      <c r="H48" s="53"/>
      <c r="I48" s="53"/>
      <c r="J48" s="53"/>
      <c r="K48" s="53"/>
      <c r="L48" s="53"/>
      <c r="M48" s="53"/>
      <c r="N48" s="53"/>
      <c r="O48" s="53"/>
      <c r="P48" s="53"/>
      <c r="Q48" s="53"/>
      <c r="R48" s="53"/>
      <c r="S48" s="53"/>
      <c r="T48" s="52"/>
      <c r="U48" s="52"/>
      <c r="V48" s="52"/>
      <c r="W48" s="52"/>
      <c r="X48" s="52"/>
      <c r="Y48" s="52"/>
      <c r="Z48" s="52"/>
    </row>
    <row r="49" spans="1:26" ht="15.75" customHeight="1" thickBot="1">
      <c r="A49" s="52"/>
      <c r="B49" s="53"/>
      <c r="C49" s="57" t="s">
        <v>48</v>
      </c>
      <c r="D49" s="57"/>
      <c r="E49" s="57"/>
      <c r="F49" s="57"/>
      <c r="G49" s="57"/>
      <c r="H49" s="57"/>
      <c r="I49" s="57"/>
      <c r="J49" s="57"/>
      <c r="K49" s="57"/>
      <c r="L49" s="57"/>
      <c r="M49" s="57"/>
      <c r="N49" s="57"/>
      <c r="O49" s="57"/>
      <c r="P49" s="57"/>
      <c r="Q49" s="57"/>
      <c r="R49" s="57"/>
      <c r="S49" s="53"/>
      <c r="T49" s="52"/>
      <c r="U49" s="52"/>
      <c r="V49" s="52"/>
      <c r="W49" s="52"/>
      <c r="X49" s="52"/>
      <c r="Y49" s="52"/>
      <c r="Z49" s="52"/>
    </row>
    <row r="50" spans="1:26" ht="15" customHeight="1">
      <c r="A50" s="52"/>
      <c r="B50" s="53"/>
      <c r="C50" s="53"/>
      <c r="D50" s="53"/>
      <c r="E50" s="53"/>
      <c r="F50" s="53"/>
      <c r="G50" s="53"/>
      <c r="H50" s="53"/>
      <c r="I50" s="53"/>
      <c r="J50" s="53"/>
      <c r="K50" s="53"/>
      <c r="L50" s="53"/>
      <c r="M50" s="53"/>
      <c r="N50" s="53"/>
      <c r="O50" s="53"/>
      <c r="P50" s="53"/>
      <c r="Q50" s="53"/>
      <c r="R50" s="53"/>
      <c r="S50" s="53"/>
      <c r="T50" s="52"/>
      <c r="U50" s="52"/>
      <c r="V50" s="52"/>
      <c r="W50" s="52"/>
      <c r="X50" s="52"/>
      <c r="Y50" s="52"/>
      <c r="Z50" s="52"/>
    </row>
    <row r="51" spans="1:26" ht="63" customHeight="1">
      <c r="A51" s="52"/>
      <c r="B51" s="53"/>
      <c r="C51" s="210" t="s">
        <v>49</v>
      </c>
      <c r="D51" s="225"/>
      <c r="E51" s="225"/>
      <c r="F51" s="225"/>
      <c r="G51" s="225"/>
      <c r="H51" s="225"/>
      <c r="I51" s="225"/>
      <c r="J51" s="225"/>
      <c r="K51" s="225"/>
      <c r="L51" s="225"/>
      <c r="M51" s="225"/>
      <c r="N51" s="225"/>
      <c r="O51" s="225"/>
      <c r="P51" s="225"/>
      <c r="Q51" s="225"/>
      <c r="R51" s="225"/>
      <c r="S51" s="53"/>
      <c r="T51" s="52"/>
      <c r="U51" s="52"/>
      <c r="V51" s="52"/>
      <c r="W51" s="52"/>
      <c r="X51" s="52"/>
      <c r="Y51" s="52"/>
      <c r="Z51" s="52"/>
    </row>
    <row r="52" spans="1:26" ht="15" customHeight="1">
      <c r="A52" s="52"/>
      <c r="B52" s="92"/>
      <c r="C52" s="93"/>
      <c r="D52" s="93"/>
      <c r="E52" s="93"/>
      <c r="F52" s="93"/>
      <c r="G52" s="93"/>
      <c r="H52" s="92"/>
      <c r="I52" s="92"/>
      <c r="J52" s="92"/>
      <c r="K52" s="92"/>
      <c r="L52" s="92"/>
      <c r="M52" s="92"/>
      <c r="N52" s="92"/>
      <c r="O52" s="92"/>
      <c r="P52" s="92"/>
      <c r="Q52" s="92"/>
      <c r="R52" s="92"/>
      <c r="S52" s="92"/>
      <c r="T52" s="94"/>
      <c r="U52" s="52"/>
      <c r="V52" s="52"/>
      <c r="W52" s="52"/>
      <c r="X52" s="52"/>
      <c r="Y52" s="52"/>
      <c r="Z52" s="52"/>
    </row>
    <row r="53" spans="1:26" ht="33.6" customHeight="1">
      <c r="A53" s="52"/>
      <c r="B53" s="52"/>
      <c r="H53" s="52"/>
      <c r="I53" s="52"/>
      <c r="J53" s="52"/>
      <c r="K53" s="52"/>
      <c r="L53" s="52"/>
      <c r="M53" s="52"/>
      <c r="N53" s="52"/>
      <c r="O53" s="52"/>
      <c r="P53" s="52"/>
      <c r="Q53" s="52"/>
      <c r="R53" s="52"/>
      <c r="S53" s="52"/>
      <c r="T53" s="52"/>
      <c r="U53" s="52"/>
      <c r="V53" s="52"/>
      <c r="W53" s="52"/>
      <c r="X53" s="52"/>
      <c r="Y53" s="52"/>
      <c r="Z53" s="52"/>
    </row>
    <row r="54" spans="1:26" ht="15" hidden="1" customHeight="1">
      <c r="A54" s="52"/>
      <c r="B54" s="52"/>
      <c r="H54" s="52"/>
      <c r="I54" s="52"/>
      <c r="J54" s="52"/>
      <c r="K54" s="52"/>
      <c r="L54" s="52"/>
      <c r="M54" s="52"/>
      <c r="N54" s="52"/>
      <c r="O54" s="52"/>
      <c r="P54" s="52"/>
      <c r="Q54" s="52"/>
      <c r="R54" s="52"/>
      <c r="S54" s="52"/>
      <c r="T54" s="52"/>
      <c r="U54" s="52"/>
      <c r="V54" s="52"/>
      <c r="W54" s="52"/>
      <c r="X54" s="52"/>
      <c r="Y54" s="52"/>
      <c r="Z54" s="52"/>
    </row>
    <row r="55" spans="1:26" ht="15" hidden="1" customHeight="1">
      <c r="A55" s="52"/>
      <c r="B55" s="52"/>
      <c r="H55" s="52"/>
      <c r="I55" s="52"/>
      <c r="J55" s="52"/>
      <c r="K55" s="52"/>
      <c r="L55" s="52"/>
      <c r="M55" s="52"/>
      <c r="N55" s="52"/>
      <c r="O55" s="52"/>
      <c r="P55" s="52"/>
      <c r="Q55" s="52"/>
      <c r="R55" s="52"/>
      <c r="S55" s="52"/>
      <c r="T55" s="52"/>
      <c r="U55" s="52"/>
      <c r="V55" s="52"/>
      <c r="W55" s="52"/>
      <c r="X55" s="52"/>
      <c r="Y55" s="52"/>
      <c r="Z55" s="52"/>
    </row>
    <row r="56" spans="1:26" ht="15" hidden="1" customHeight="1">
      <c r="A56" s="52"/>
      <c r="B56" s="52"/>
      <c r="H56" s="52"/>
      <c r="I56" s="52"/>
      <c r="J56" s="52"/>
      <c r="K56" s="52"/>
      <c r="L56" s="52"/>
      <c r="M56" s="52"/>
      <c r="N56" s="52"/>
      <c r="O56" s="52"/>
      <c r="P56" s="52"/>
      <c r="Q56" s="52"/>
      <c r="R56" s="52"/>
      <c r="S56" s="52"/>
      <c r="T56" s="52"/>
      <c r="U56" s="52"/>
      <c r="V56" s="52"/>
      <c r="W56" s="52"/>
      <c r="X56" s="52"/>
      <c r="Y56" s="52"/>
      <c r="Z56" s="52"/>
    </row>
    <row r="57" spans="1:26" ht="15" hidden="1" customHeight="1">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52"/>
    </row>
    <row r="58" spans="1:26" ht="15.6" customHeight="1">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row>
    <row r="59" spans="1:26" ht="27.95" customHeight="1" thickBot="1">
      <c r="A59" s="52"/>
      <c r="B59" s="52"/>
      <c r="C59" s="81" t="s">
        <v>50</v>
      </c>
      <c r="D59" s="82" t="s">
        <v>51</v>
      </c>
      <c r="E59" s="82" t="s">
        <v>52</v>
      </c>
      <c r="F59" s="82" t="s">
        <v>53</v>
      </c>
      <c r="G59" s="83" t="s">
        <v>54</v>
      </c>
      <c r="H59" s="52"/>
      <c r="I59" s="52"/>
      <c r="J59" s="52"/>
      <c r="K59" s="52"/>
      <c r="L59" s="52"/>
      <c r="M59" s="52"/>
      <c r="N59" s="52"/>
      <c r="O59" s="52"/>
      <c r="P59" s="52"/>
      <c r="Q59" s="52"/>
      <c r="R59" s="52"/>
      <c r="S59" s="52"/>
      <c r="T59" s="52"/>
      <c r="U59" s="52"/>
      <c r="V59" s="52"/>
      <c r="W59" s="52"/>
      <c r="X59" s="52"/>
      <c r="Y59" s="52"/>
      <c r="Z59" s="52"/>
    </row>
    <row r="60" spans="1:26" ht="41.45" customHeight="1" thickBot="1">
      <c r="A60" s="52"/>
      <c r="B60" s="52"/>
      <c r="C60" s="84" t="s">
        <v>55</v>
      </c>
      <c r="D60" s="77" t="s">
        <v>56</v>
      </c>
      <c r="E60" s="77" t="s">
        <v>56</v>
      </c>
      <c r="F60" s="78" t="s">
        <v>57</v>
      </c>
      <c r="G60" s="85" t="s">
        <v>58</v>
      </c>
      <c r="H60" s="52"/>
      <c r="I60" s="52"/>
      <c r="J60" s="52"/>
      <c r="K60" s="52"/>
      <c r="L60" s="52"/>
      <c r="M60" s="52"/>
      <c r="N60" s="52"/>
      <c r="O60" s="52"/>
      <c r="P60" s="52"/>
      <c r="Q60" s="52"/>
      <c r="R60" s="52"/>
      <c r="S60" s="52"/>
      <c r="T60" s="52"/>
      <c r="U60" s="52"/>
      <c r="V60" s="52"/>
      <c r="W60" s="52"/>
      <c r="X60" s="52"/>
      <c r="Y60" s="52"/>
      <c r="Z60" s="52"/>
    </row>
    <row r="61" spans="1:26" ht="44.45" customHeight="1" thickBot="1">
      <c r="A61" s="52"/>
      <c r="B61" s="52"/>
      <c r="C61" s="86" t="s">
        <v>59</v>
      </c>
      <c r="D61" s="79" t="s">
        <v>60</v>
      </c>
      <c r="E61" s="79" t="s">
        <v>61</v>
      </c>
      <c r="F61" s="80" t="s">
        <v>62</v>
      </c>
      <c r="G61" s="87" t="s">
        <v>63</v>
      </c>
      <c r="H61" s="52"/>
      <c r="I61" s="52"/>
      <c r="J61" s="52"/>
      <c r="K61" s="52"/>
      <c r="L61" s="52"/>
      <c r="M61" s="52"/>
      <c r="N61" s="52"/>
      <c r="O61" s="52"/>
      <c r="P61" s="52"/>
      <c r="Q61" s="52"/>
      <c r="R61" s="52"/>
      <c r="S61" s="52"/>
      <c r="T61" s="52"/>
      <c r="U61" s="52"/>
      <c r="V61" s="52"/>
      <c r="W61" s="52"/>
      <c r="X61" s="52"/>
      <c r="Y61" s="52"/>
      <c r="Z61" s="52"/>
    </row>
    <row r="62" spans="1:26" ht="47.1" customHeight="1" thickBot="1">
      <c r="A62" s="52"/>
      <c r="B62" s="52"/>
      <c r="C62" s="84" t="s">
        <v>64</v>
      </c>
      <c r="D62" s="77" t="s">
        <v>56</v>
      </c>
      <c r="E62" s="77" t="s">
        <v>65</v>
      </c>
      <c r="F62" s="78" t="s">
        <v>66</v>
      </c>
      <c r="G62" s="85" t="s">
        <v>67</v>
      </c>
      <c r="H62" s="52"/>
      <c r="I62" s="52"/>
      <c r="J62" s="52"/>
      <c r="K62" s="52"/>
      <c r="L62" s="52"/>
      <c r="M62" s="52"/>
      <c r="N62" s="52"/>
      <c r="O62" s="52"/>
      <c r="P62" s="52"/>
      <c r="Q62" s="52"/>
      <c r="R62" s="52"/>
      <c r="S62" s="52"/>
      <c r="T62" s="52"/>
      <c r="U62" s="52"/>
      <c r="V62" s="52"/>
      <c r="W62" s="52"/>
      <c r="X62" s="52"/>
      <c r="Y62" s="52"/>
      <c r="Z62" s="52"/>
    </row>
    <row r="63" spans="1:26" ht="51.95" customHeight="1">
      <c r="A63" s="52"/>
      <c r="B63" s="52"/>
      <c r="C63" s="88" t="s">
        <v>68</v>
      </c>
      <c r="D63" s="89" t="s">
        <v>60</v>
      </c>
      <c r="E63" s="89" t="s">
        <v>60</v>
      </c>
      <c r="F63" s="90" t="s">
        <v>69</v>
      </c>
      <c r="G63" s="91" t="s">
        <v>70</v>
      </c>
      <c r="H63" s="52"/>
      <c r="I63" s="52"/>
      <c r="J63" s="52"/>
      <c r="K63" s="52"/>
      <c r="L63" s="52"/>
      <c r="M63" s="52"/>
      <c r="N63" s="52"/>
      <c r="O63" s="52"/>
      <c r="P63" s="52"/>
      <c r="Q63" s="52"/>
      <c r="R63" s="52"/>
      <c r="S63" s="52"/>
      <c r="T63" s="52"/>
      <c r="U63" s="52"/>
      <c r="V63" s="52"/>
      <c r="W63" s="52"/>
      <c r="X63" s="52"/>
      <c r="Y63" s="52"/>
      <c r="Z63" s="52"/>
    </row>
    <row r="64" spans="1:26" ht="15.75" customHeight="1">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row>
    <row r="65" spans="1:26" ht="15.75" customHeight="1">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spans="1:26" ht="15.75" customHeight="1">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row>
    <row r="67" spans="1:26" ht="15.75" customHeight="1">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spans="1:26" ht="15.75" customHeight="1">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row>
    <row r="69" spans="1:26" ht="15.75" customHeight="1">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spans="1:26" ht="15.75" customHeight="1">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row>
    <row r="71" spans="1:26" ht="15.75" customHeight="1">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spans="1:26" ht="15.75" customHeight="1">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spans="1:26" ht="15.75" customHeight="1">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spans="1:26" ht="15.75" customHeight="1">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row>
    <row r="75" spans="1:26" ht="15.75" customHeight="1">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spans="1:26" ht="15.75" customHeight="1">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row>
    <row r="77" spans="1:26" ht="15.75" customHeight="1">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spans="1:26" ht="15.75" customHeight="1">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spans="1:26" ht="15.75" customHeight="1">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spans="1:26" ht="15.75" customHeight="1">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ht="15.75" customHeight="1">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ht="15.75" customHeight="1">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ht="15.75" customHeight="1">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ht="15.75" customHeight="1">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ht="15.75" customHeight="1">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ht="15.75" customHeight="1">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ht="15.75" customHeight="1">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ht="15.75" customHeight="1">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ht="15.75" customHeight="1">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ht="15.75" customHeight="1">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ht="15.75" customHeight="1">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ht="15.75" customHeight="1">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ht="15.75" customHeight="1">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ht="15.75" customHeight="1">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ht="15.75" customHeight="1">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ht="15.75" customHeight="1">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ht="15.75" customHeight="1">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ht="15.75" customHeight="1">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ht="15.75" customHeight="1">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ht="15.75" customHeight="1">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5.75" customHeight="1">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5.75" customHeight="1">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5.75" customHeight="1">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5.75" customHeight="1">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5.75" customHeight="1">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5.75" customHeight="1">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5.75" customHeight="1">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5.75" customHeight="1">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5.75" customHeight="1">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5.75" customHeight="1">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5.75" customHeight="1">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5.75" customHeight="1">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5.75" customHeight="1">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5.75" customHeight="1">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5.75" customHeight="1">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5.75" customHeight="1">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5.75" customHeight="1">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5.75" customHeight="1">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5.75" customHeight="1">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5.75" customHeight="1">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5.75" customHeight="1">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5.75" customHeight="1">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5.75" customHeight="1">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5.75" customHeight="1">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5.75" customHeight="1">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5.75" customHeight="1">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5.75" customHeight="1">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5.75" customHeight="1">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5.75" customHeight="1">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5.75" customHeight="1">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5.75" customHeight="1">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5.75" customHeight="1">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5.75" customHeight="1">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5.75" customHeight="1">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5.75" customHeight="1">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5.75" customHeight="1">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5.75" customHeight="1">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5.75" customHeight="1">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5.75" customHeight="1">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5.75" customHeight="1">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5.75" customHeight="1">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5.75" customHeight="1">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5.75" customHeight="1">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5.75" customHeight="1">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5.75" customHeight="1">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5.75" customHeight="1">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5.75" customHeight="1">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5.75" customHeight="1">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5.75" customHeight="1">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5.75" customHeight="1">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5.75" customHeight="1">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5.75" customHeight="1">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5.75" customHeight="1">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5.75" customHeight="1">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5.75" customHeight="1">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5.75" customHeight="1">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5.75" customHeight="1">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5.75" customHeight="1">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5.75" customHeight="1">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5.75" customHeight="1">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5.75" customHeight="1">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5.75" customHeight="1">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5.75" customHeight="1">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5.75" customHeight="1">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5.75" customHeight="1">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5.75" customHeight="1">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5.75" customHeight="1">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5.75" customHeight="1">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5.75" customHeight="1">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5.75" customHeight="1">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5.75" customHeight="1">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5.75" customHeight="1">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5.75" customHeight="1">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5.75" customHeight="1">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5.75" customHeight="1">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5.75" customHeight="1">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5.75" customHeight="1">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5.75" customHeight="1">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5.75" customHeight="1">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5.75" customHeight="1">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5.75" customHeight="1">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5.75" customHeight="1">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5.75" customHeight="1">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5.75" customHeight="1">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5.75" customHeight="1">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5.75" customHeight="1">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5.75" customHeight="1">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5.75" customHeight="1">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5.75" customHeight="1">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5.75" customHeight="1">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5.75" customHeight="1">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5.75" customHeight="1">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5.75" customHeight="1">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5.75" customHeight="1">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5.75" customHeight="1">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5.75" customHeight="1">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5.75" customHeight="1">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5.75" customHeight="1">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5.75" customHeight="1">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5.75" customHeight="1">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5.75" customHeight="1">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5.75" customHeight="1">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5.75" customHeight="1">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5.75" customHeight="1">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5.75" customHeight="1">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5.75" customHeight="1">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5.75" customHeight="1">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5.75" customHeight="1">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5.75" customHeight="1">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5.75" customHeight="1">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5.75" customHeight="1">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5.75" customHeight="1">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5.75" customHeight="1">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5.75" customHeight="1">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5.75" customHeight="1">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5.75" customHeight="1">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5.75" customHeight="1">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spans="1:26" ht="15.75" customHeight="1">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spans="1:26" ht="15.75" customHeight="1">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spans="1:26" ht="15.75" customHeight="1">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spans="1:26" ht="15.75" customHeight="1">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spans="1:26" ht="15.75" customHeight="1">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spans="1:26" ht="15.75" customHeight="1">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spans="1:26" ht="15.75" customHeight="1">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spans="1:26" ht="15.75" customHeight="1">
      <c r="A229" s="5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row>
    <row r="230" spans="1:26" ht="15.75" customHeight="1">
      <c r="A230" s="5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row>
    <row r="231" spans="1:26" ht="15.75" customHeight="1">
      <c r="A231" s="5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row>
    <row r="232" spans="1:26" ht="15.75" customHeight="1">
      <c r="A232" s="5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row>
    <row r="233" spans="1:26" ht="15.75" customHeight="1">
      <c r="A233" s="5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row>
    <row r="234" spans="1:26" ht="15.75" customHeight="1">
      <c r="A234" s="5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row>
    <row r="235" spans="1:26" ht="15.75" customHeight="1">
      <c r="A235" s="5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row>
    <row r="236" spans="1:26" ht="15.75" customHeight="1">
      <c r="A236" s="5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row>
    <row r="237" spans="1:26" ht="15.75" customHeight="1">
      <c r="A237" s="5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row>
    <row r="238" spans="1:26" ht="15.75" customHeight="1">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row>
    <row r="239" spans="1:26" ht="15.75" customHeight="1">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spans="1:26" ht="15.75" customHeight="1">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row>
    <row r="241" spans="1:26" ht="15.75" customHeight="1">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spans="1:26" ht="15.75" customHeight="1">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row>
    <row r="243" spans="1:26" ht="15.75" customHeight="1">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spans="1:26" ht="15.75" customHeight="1">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ht="15.75" customHeight="1">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spans="1:26" ht="15.75" customHeight="1">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spans="1:26" ht="15.75" customHeight="1">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spans="1:26" ht="15.75" customHeight="1">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spans="1:26" ht="15.75" customHeight="1">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spans="1:26" ht="15.75" customHeight="1">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spans="1:26" ht="15.75" customHeight="1">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spans="1:26" ht="15.75" customHeight="1">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spans="1:26" ht="15.75" customHeight="1">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spans="1:26" ht="15.75" customHeight="1">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spans="1:26" ht="15.75" customHeight="1">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spans="1:26" ht="15.75" customHeight="1">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spans="1:26" ht="15.75" customHeight="1">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spans="1:26" ht="15.75" customHeight="1">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spans="1:26" ht="15.75" customHeight="1">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spans="1:26" ht="15.75" customHeight="1">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ht="15.75" customHeight="1">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spans="1:26" ht="15.75" customHeight="1">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spans="1:26" ht="15.75" customHeight="1">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spans="1:26" ht="15.75" customHeight="1">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spans="1:26" ht="15.75" customHeight="1">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spans="1:26" ht="15.75" customHeight="1">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spans="1:26" ht="15.75" customHeight="1">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spans="1:26" ht="15.75" customHeight="1">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spans="1:26" ht="15.75" customHeight="1">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spans="1:26" ht="15.75" customHeight="1">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spans="1:26" ht="15.75" customHeight="1">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spans="1:26" ht="15.75" customHeight="1">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spans="1:26" ht="15.75" customHeight="1">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ht="15.75" customHeight="1">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spans="1:26" ht="15.75" customHeight="1">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spans="1:26" ht="15.75" customHeight="1">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spans="1:26" ht="15.75" customHeight="1">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spans="1:26" ht="15.75" customHeight="1">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row>
    <row r="279" spans="1:26" ht="15.75" customHeight="1">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spans="1:26" ht="15.75" customHeight="1">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row>
    <row r="281" spans="1:26" ht="15.75" customHeight="1">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spans="1:26" ht="15.75" customHeight="1">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row>
    <row r="283" spans="1:26" ht="15.75" customHeight="1">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spans="1:26" ht="15.75" customHeight="1">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row>
    <row r="285" spans="1:26" ht="15.75" customHeight="1">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row>
    <row r="286" spans="1:26" ht="15.75" customHeight="1">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row>
    <row r="287" spans="1:26" ht="15.75" customHeight="1">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spans="1:26" ht="15.75" customHeight="1">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row>
    <row r="289" spans="1:26" ht="15.75" customHeight="1">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row>
    <row r="290" spans="1:26" ht="15.75" customHeight="1">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row>
    <row r="291" spans="1:26" ht="15.75" customHeight="1">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row>
    <row r="292" spans="1:26" ht="15.75" customHeight="1">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row>
    <row r="293" spans="1:26" ht="15.75" customHeight="1">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row>
    <row r="294" spans="1:26" ht="15.75" customHeight="1">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row>
    <row r="295" spans="1:26" ht="15.75" customHeight="1">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row>
    <row r="296" spans="1:26" ht="15.75" customHeight="1">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row>
    <row r="297" spans="1:26" ht="15.75" customHeight="1">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row>
    <row r="298" spans="1:26" ht="15.75" customHeight="1">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row>
    <row r="299" spans="1:26" ht="15.75" customHeight="1">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row>
    <row r="300" spans="1:26" ht="15.75" customHeight="1">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row>
    <row r="301" spans="1:26" ht="15.75" customHeight="1">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row>
    <row r="302" spans="1:26" ht="15.75" customHeight="1">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row>
    <row r="303" spans="1:26" ht="15.75" customHeight="1">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row>
    <row r="304" spans="1:26" ht="15.75" customHeight="1">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row>
    <row r="305" spans="1:26" ht="15.75" customHeight="1">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row>
    <row r="306" spans="1:26" ht="15.75" customHeight="1">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row>
    <row r="307" spans="1:26" ht="15.75" customHeight="1">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spans="1:26" ht="15.75" customHeight="1">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row>
    <row r="309" spans="1:26" ht="15.75" customHeight="1">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row>
    <row r="310" spans="1:26" ht="15.75" customHeight="1">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row>
    <row r="311" spans="1:26" ht="15.75" customHeight="1">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row>
    <row r="312" spans="1:26" ht="15.75" customHeight="1">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row>
    <row r="313" spans="1:26" ht="15.75" customHeight="1">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row>
    <row r="314" spans="1:26" ht="15.75" customHeight="1">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row>
    <row r="315" spans="1:26" ht="15.75" customHeight="1">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row>
    <row r="316" spans="1:26" ht="15.75" customHeight="1">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row>
    <row r="317" spans="1:26" ht="15.75" customHeight="1">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row>
    <row r="318" spans="1:26" ht="15.75" customHeight="1">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row>
    <row r="319" spans="1:26" ht="15.75" customHeight="1">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row>
    <row r="320" spans="1:26" ht="15.75" customHeight="1">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row>
    <row r="321" spans="1:26" ht="15.75" customHeight="1">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row>
    <row r="322" spans="1:26" ht="15.75" customHeight="1">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row>
    <row r="323" spans="1:26" ht="15.75" customHeight="1">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row>
    <row r="324" spans="1:26" ht="15.75" customHeight="1">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row>
    <row r="325" spans="1:26" ht="15.75" customHeight="1">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row>
    <row r="326" spans="1:26" ht="15.75" customHeight="1">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row>
    <row r="327" spans="1:26" ht="15.75" customHeight="1">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row>
    <row r="328" spans="1:26" ht="15.75" customHeight="1">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row>
    <row r="329" spans="1:26" ht="15.75" customHeight="1">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spans="1:26" ht="15.75" customHeight="1">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row>
    <row r="331" spans="1:26" ht="15.75" customHeight="1">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row>
    <row r="332" spans="1:26" ht="15.75" customHeight="1">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row>
    <row r="333" spans="1:26" ht="15.75" customHeight="1">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row>
    <row r="334" spans="1:26" ht="15.75" customHeight="1">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row>
    <row r="335" spans="1:26" ht="15.75" customHeight="1">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row>
    <row r="336" spans="1:26" ht="15.75" customHeight="1">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row>
    <row r="337" spans="1:26" ht="15.75" customHeight="1">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row>
    <row r="338" spans="1:26" ht="15.75" customHeight="1">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row>
    <row r="339" spans="1:26" ht="15.75" customHeight="1">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row>
    <row r="340" spans="1:26" ht="15.75" customHeight="1">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row>
    <row r="341" spans="1:26" ht="15.75" customHeight="1">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row>
    <row r="342" spans="1:26" ht="15.75" customHeight="1">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row>
    <row r="343" spans="1:26" ht="15.75" customHeight="1">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row>
    <row r="344" spans="1:26" ht="15.75" customHeight="1">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row>
    <row r="345" spans="1:26" ht="15.75" customHeight="1">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row>
    <row r="346" spans="1:26" ht="15.75" customHeight="1">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row>
    <row r="347" spans="1:26" ht="15.75" customHeight="1">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row>
    <row r="348" spans="1:26" ht="15.75" customHeight="1">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row>
    <row r="349" spans="1:26" ht="15.75" customHeight="1">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spans="1:26" ht="15.75" customHeight="1">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row>
    <row r="351" spans="1:26" ht="15.75" customHeight="1">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row>
    <row r="352" spans="1:26" ht="15.75" customHeight="1">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row>
    <row r="353" spans="1:26" ht="15.75" customHeight="1">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row>
    <row r="354" spans="1:26" ht="15.75" customHeight="1">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row>
    <row r="355" spans="1:26" ht="15.75" customHeight="1">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row>
    <row r="356" spans="1:26" ht="15.75" customHeight="1">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row>
    <row r="357" spans="1:26" ht="15.75" customHeight="1">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row>
    <row r="358" spans="1:26" ht="15.75" customHeight="1">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row>
    <row r="359" spans="1:26" ht="15.75" customHeight="1">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row>
    <row r="360" spans="1:26" ht="15.75" customHeight="1">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row>
    <row r="361" spans="1:26" ht="15.75" customHeight="1">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row>
    <row r="362" spans="1:26" ht="15.75" customHeight="1">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row>
    <row r="363" spans="1:26" ht="15.75" customHeight="1">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row>
    <row r="364" spans="1:26" ht="15.75" customHeight="1">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row>
    <row r="365" spans="1:26" ht="15.75" customHeight="1">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row>
    <row r="366" spans="1:26" ht="15.75" customHeight="1">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row>
    <row r="367" spans="1:26" ht="15.75" customHeight="1">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row>
    <row r="368" spans="1:26" ht="15.75" customHeight="1">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row>
    <row r="369" spans="1:26" ht="15.75" customHeight="1">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row>
    <row r="370" spans="1:26" ht="15.75" customHeight="1">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row>
    <row r="371" spans="1:26" ht="15.75" customHeight="1">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row>
    <row r="372" spans="1:26" ht="15.75" customHeight="1">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row>
    <row r="373" spans="1:26" ht="15.75" customHeight="1">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row>
    <row r="374" spans="1:26" ht="15.75" customHeight="1">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row>
    <row r="375" spans="1:26" ht="15.75" customHeight="1">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row>
    <row r="376" spans="1:26" ht="15.75" customHeight="1">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row>
    <row r="377" spans="1:26" ht="15.75" customHeight="1">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row>
    <row r="378" spans="1:26" ht="15.75" customHeight="1">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row>
    <row r="379" spans="1:26" ht="15.75" customHeight="1">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row>
    <row r="380" spans="1:26" ht="15.75" customHeight="1">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row>
    <row r="381" spans="1:26" ht="15.75" customHeight="1">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row>
    <row r="382" spans="1:26" ht="15.75" customHeight="1">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row>
    <row r="383" spans="1:26" ht="15.75" customHeight="1">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row>
    <row r="384" spans="1:26" ht="15.75" customHeight="1">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row>
    <row r="385" spans="1:26" ht="15.75" customHeight="1">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row>
    <row r="386" spans="1:26" ht="15.75" customHeight="1">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row>
    <row r="387" spans="1:26" ht="15.75" customHeight="1">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row>
    <row r="388" spans="1:26" ht="15.75" customHeight="1">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row>
    <row r="389" spans="1:26" ht="15.75" customHeight="1">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row>
    <row r="390" spans="1:26" ht="15.75" customHeight="1">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row>
    <row r="391" spans="1:26" ht="15.75" customHeight="1">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row>
    <row r="392" spans="1:26" ht="15.75" customHeight="1">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row>
    <row r="393" spans="1:26" ht="15.75" customHeight="1">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row>
    <row r="394" spans="1:26" ht="15.75" customHeight="1">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row>
    <row r="395" spans="1:26" ht="15.75" customHeight="1">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row>
    <row r="396" spans="1:26" ht="15.75" customHeight="1">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row>
    <row r="397" spans="1:26" ht="15.75" customHeight="1">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row>
    <row r="398" spans="1:26" ht="15.75" customHeight="1">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row>
    <row r="399" spans="1:26" ht="15.75" customHeight="1">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row>
    <row r="400" spans="1:26" ht="15.75" customHeight="1">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row>
    <row r="401" spans="1:26" ht="15.75" customHeight="1">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row>
    <row r="402" spans="1:26" ht="15.75" customHeight="1">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row>
    <row r="403" spans="1:26" ht="15.75" customHeight="1">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row>
    <row r="404" spans="1:26" ht="15.75" customHeight="1">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row>
    <row r="405" spans="1:26" ht="15.75" customHeight="1">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row>
    <row r="406" spans="1:26" ht="15.75" customHeight="1">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row>
    <row r="407" spans="1:26" ht="15.75" customHeight="1">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row>
    <row r="408" spans="1:26" ht="15.75" customHeight="1">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row>
    <row r="409" spans="1:26" ht="15.75" customHeight="1">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row>
    <row r="410" spans="1:26" ht="15.75" customHeight="1">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row>
    <row r="411" spans="1:26" ht="15.75" customHeight="1">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row>
    <row r="412" spans="1:26" ht="15.75" customHeight="1">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row>
    <row r="413" spans="1:26" ht="15.75" customHeight="1">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row>
    <row r="414" spans="1:26" ht="15.75" customHeight="1">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row>
    <row r="415" spans="1:26" ht="15.75" customHeight="1">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row>
    <row r="416" spans="1:26" ht="15.75" customHeight="1">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row>
    <row r="417" spans="1:26" ht="15.75" customHeight="1">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row>
    <row r="418" spans="1:26" ht="15.75" customHeight="1">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row>
    <row r="419" spans="1:26" ht="15.75" customHeight="1">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row>
    <row r="420" spans="1:26" ht="15.75" customHeight="1">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row>
    <row r="421" spans="1:26" ht="15.75" customHeight="1">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row>
    <row r="422" spans="1:26" ht="15.75" customHeight="1">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row>
    <row r="423" spans="1:26" ht="15.75" customHeight="1">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row>
    <row r="424" spans="1:26" ht="15.75" customHeight="1">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row>
    <row r="425" spans="1:26" ht="15.75" customHeight="1">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row>
    <row r="426" spans="1:26" ht="15.75" customHeight="1">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row>
    <row r="427" spans="1:26" ht="15.75" customHeight="1">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row>
    <row r="428" spans="1:26" ht="15.75" customHeight="1">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row>
    <row r="429" spans="1:26" ht="15.75" customHeight="1">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row>
    <row r="430" spans="1:26" ht="15.75" customHeight="1">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row>
    <row r="431" spans="1:26" ht="15.75" customHeight="1">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row>
    <row r="432" spans="1:26" ht="15.75" customHeight="1">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row>
    <row r="433" spans="1:26" ht="15.75" customHeight="1">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row>
    <row r="434" spans="1:26" ht="15.75" customHeight="1">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row>
    <row r="435" spans="1:26" ht="15.75" customHeight="1">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row>
    <row r="436" spans="1:26" ht="15.75" customHeight="1">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row>
    <row r="437" spans="1:26" ht="15.75" customHeight="1">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row>
    <row r="438" spans="1:26" ht="15.75" customHeight="1">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row>
    <row r="439" spans="1:26" ht="15.75" customHeight="1">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row>
    <row r="440" spans="1:26" ht="15.75" customHeight="1">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row>
    <row r="441" spans="1:26" ht="15.75" customHeight="1">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row>
    <row r="442" spans="1:26" ht="15.75" customHeight="1">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row>
    <row r="443" spans="1:26" ht="15.75" customHeight="1">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row>
    <row r="444" spans="1:26" ht="15.75" customHeight="1">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row>
    <row r="445" spans="1:26" ht="15.75" customHeight="1">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row>
    <row r="446" spans="1:26" ht="15.75" customHeight="1">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row>
    <row r="447" spans="1:26" ht="15.75" customHeight="1">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row>
    <row r="448" spans="1:26" ht="15.75" customHeight="1">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row>
    <row r="449" spans="1:26" ht="15.75" customHeight="1">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row>
    <row r="450" spans="1:26" ht="15.75" customHeight="1">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row>
    <row r="451" spans="1:26" ht="15.75" customHeight="1">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row>
    <row r="452" spans="1:26" ht="15.75" customHeight="1">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row>
    <row r="453" spans="1:26" ht="15.75" customHeight="1">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row>
    <row r="454" spans="1:26" ht="15.75" customHeight="1">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row>
    <row r="455" spans="1:26" ht="15.75" customHeight="1">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row>
    <row r="456" spans="1:26" ht="15.75" customHeight="1">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row>
    <row r="457" spans="1:26" ht="15.75" customHeight="1">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row>
    <row r="458" spans="1:26" ht="15.75" customHeight="1">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row>
    <row r="459" spans="1:26" ht="15.75" customHeight="1">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row>
    <row r="460" spans="1:26" ht="15.75" customHeight="1">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row>
    <row r="461" spans="1:26" ht="15.75" customHeight="1">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row>
    <row r="462" spans="1:26" ht="15.75" customHeight="1">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row>
    <row r="463" spans="1:26" ht="15.75" customHeight="1">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row>
    <row r="464" spans="1:26" ht="15.75" customHeight="1">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row>
    <row r="465" spans="1:26" ht="15.75" customHeight="1">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row>
    <row r="466" spans="1:26" ht="15.75" customHeight="1">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row>
    <row r="467" spans="1:26" ht="15.75" customHeight="1">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row>
    <row r="468" spans="1:26" ht="15.75" customHeight="1">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row>
    <row r="469" spans="1:26" ht="15.75" customHeight="1">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row>
    <row r="470" spans="1:26" ht="15.75" customHeight="1">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row>
    <row r="471" spans="1:26" ht="15.75" customHeight="1">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row>
    <row r="472" spans="1:26" ht="15.75" customHeight="1">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row>
    <row r="473" spans="1:26" ht="15.75" customHeight="1">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row>
    <row r="474" spans="1:26" ht="15.75" customHeight="1">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row>
    <row r="475" spans="1:26" ht="15.75" customHeight="1">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row>
    <row r="476" spans="1:26" ht="15.75" customHeight="1">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row>
    <row r="477" spans="1:26" ht="15.75" customHeight="1">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row>
    <row r="478" spans="1:26" ht="15.75" customHeight="1">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row>
    <row r="479" spans="1:26" ht="15.75" customHeight="1">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row>
    <row r="480" spans="1:26" ht="15.75" customHeight="1">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row>
    <row r="481" spans="1:26" ht="15.75" customHeight="1">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row>
    <row r="482" spans="1:26" ht="15.75" customHeight="1">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row>
    <row r="483" spans="1:26" ht="15.75" customHeight="1">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row>
    <row r="484" spans="1:26" ht="15.75" customHeight="1">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row>
    <row r="485" spans="1:26" ht="15.75" customHeight="1">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row>
    <row r="486" spans="1:26" ht="15.75" customHeight="1">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row>
    <row r="487" spans="1:26" ht="15.75" customHeight="1">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row>
    <row r="488" spans="1:26" ht="15.75" customHeight="1">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row>
    <row r="489" spans="1:26" ht="15.75" customHeight="1">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row>
    <row r="490" spans="1:26" ht="15.75" customHeight="1">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row>
    <row r="491" spans="1:26" ht="15.75" customHeight="1">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row>
    <row r="492" spans="1:26" ht="15.75" customHeight="1">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row>
    <row r="493" spans="1:26" ht="15.75" customHeight="1">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row>
    <row r="494" spans="1:26" ht="15.75" customHeight="1">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row>
    <row r="495" spans="1:26" ht="15.75" customHeight="1">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row>
    <row r="496" spans="1:26" ht="15.75" customHeight="1">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row>
    <row r="497" spans="1:26" ht="15.75" customHeight="1">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row>
    <row r="498" spans="1:26" ht="15.75" customHeight="1">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row>
    <row r="499" spans="1:26" ht="15.75" customHeight="1">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row>
    <row r="500" spans="1:26" ht="15.75" customHeight="1">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row>
    <row r="501" spans="1:26" ht="15.75" customHeight="1">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row>
    <row r="502" spans="1:26" ht="15.75" customHeight="1">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row>
    <row r="503" spans="1:26" ht="15.75" customHeight="1">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row>
    <row r="504" spans="1:26" ht="15.75" customHeight="1">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row>
    <row r="505" spans="1:26" ht="15.75" customHeight="1">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row>
    <row r="506" spans="1:26" ht="15.75" customHeight="1">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row>
    <row r="507" spans="1:26" ht="15.75" customHeight="1">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row>
    <row r="508" spans="1:26" ht="15.75" customHeight="1">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row>
    <row r="509" spans="1:26" ht="15.75" customHeight="1">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row>
    <row r="510" spans="1:26" ht="15.75" customHeight="1">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row>
    <row r="511" spans="1:26" ht="15.75" customHeight="1">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row>
    <row r="512" spans="1:26" ht="15.75" customHeight="1">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row>
    <row r="513" spans="1:26" ht="15.75" customHeight="1">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row>
    <row r="514" spans="1:26" ht="15.75" customHeight="1">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row>
    <row r="515" spans="1:26" ht="15.75" customHeight="1">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row>
    <row r="516" spans="1:26" ht="15.75" customHeight="1">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row>
    <row r="517" spans="1:26" ht="15.75" customHeight="1">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row>
    <row r="518" spans="1:26" ht="15.75" customHeight="1">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row>
    <row r="519" spans="1:26" ht="15.75" customHeight="1">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row>
    <row r="520" spans="1:26" ht="15.75" customHeight="1">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row>
    <row r="521" spans="1:26" ht="15.75" customHeight="1">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row>
    <row r="522" spans="1:26" ht="15.75" customHeight="1">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row>
    <row r="523" spans="1:26" ht="15.75" customHeight="1">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row>
    <row r="524" spans="1:26" ht="15.75" customHeight="1">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row>
    <row r="525" spans="1:26" ht="15.75" customHeight="1">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row>
    <row r="526" spans="1:26" ht="15.75" customHeight="1">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row>
    <row r="527" spans="1:26" ht="15.75" customHeight="1">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row>
    <row r="528" spans="1:26" ht="15.75" customHeight="1">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row>
    <row r="529" spans="1:26" ht="15.75" customHeight="1">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row>
    <row r="530" spans="1:26" ht="15.75" customHeight="1">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row>
    <row r="531" spans="1:26" ht="15.75" customHeight="1">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row>
    <row r="532" spans="1:26" ht="15.75" customHeight="1">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row>
    <row r="533" spans="1:26" ht="15.75" customHeight="1">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row>
    <row r="534" spans="1:26" ht="15.75" customHeight="1">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row>
    <row r="535" spans="1:26" ht="15.75" customHeight="1">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row>
    <row r="536" spans="1:26" ht="15.75" customHeight="1">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row>
    <row r="537" spans="1:26" ht="15.75" customHeight="1">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row>
    <row r="538" spans="1:26" ht="15.75" customHeight="1">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row>
    <row r="539" spans="1:26" ht="15.75" customHeight="1">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row>
    <row r="540" spans="1:26" ht="15.75" customHeight="1">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row>
    <row r="541" spans="1:26" ht="15.75" customHeight="1">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row>
    <row r="542" spans="1:26" ht="15.75" customHeight="1">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row>
    <row r="543" spans="1:26" ht="15.75" customHeight="1">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row>
    <row r="544" spans="1:26" ht="15.75" customHeight="1">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row>
    <row r="545" spans="1:26" ht="15.75" customHeight="1">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row>
    <row r="546" spans="1:26" ht="15.75" customHeight="1">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row>
    <row r="547" spans="1:26" ht="15.75" customHeight="1">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row>
    <row r="548" spans="1:26" ht="15.75" customHeight="1">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row>
    <row r="549" spans="1:26" ht="15.75" customHeight="1">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row>
    <row r="550" spans="1:26" ht="15.75" customHeight="1">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row>
    <row r="551" spans="1:26" ht="15.75" customHeight="1">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row>
    <row r="552" spans="1:26" ht="15.75" customHeight="1">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row>
    <row r="553" spans="1:26" ht="15.75" customHeight="1">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row>
    <row r="554" spans="1:26" ht="15.75" customHeight="1">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row>
    <row r="555" spans="1:26" ht="15.75" customHeight="1">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row>
    <row r="556" spans="1:26" ht="15.75" customHeight="1">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row>
    <row r="557" spans="1:26" ht="15.75" customHeight="1">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row>
    <row r="558" spans="1:26" ht="15.75" customHeight="1">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row>
    <row r="559" spans="1:26" ht="15.75" customHeight="1">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row>
    <row r="560" spans="1:26" ht="15.75" customHeight="1">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row>
    <row r="561" spans="1:26" ht="15.75" customHeight="1">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row>
    <row r="562" spans="1:26" ht="15.75" customHeight="1">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row>
    <row r="563" spans="1:26" ht="15.75" customHeight="1">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row>
    <row r="564" spans="1:26" ht="15.75" customHeight="1">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row>
    <row r="565" spans="1:26" ht="15.75" customHeight="1">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row>
    <row r="566" spans="1:26" ht="15.75" customHeight="1">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row>
    <row r="567" spans="1:26" ht="15.75" customHeight="1">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row>
    <row r="568" spans="1:26" ht="15.75" customHeight="1">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row>
    <row r="569" spans="1:26" ht="15.75" customHeight="1">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row>
    <row r="570" spans="1:26" ht="15.75" customHeight="1">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row>
    <row r="571" spans="1:26" ht="15.75" customHeight="1">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row>
    <row r="572" spans="1:26" ht="15.75" customHeight="1">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row>
    <row r="573" spans="1:26" ht="15.75" customHeight="1">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row>
    <row r="574" spans="1:26" ht="15.75" customHeight="1">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row>
    <row r="575" spans="1:26" ht="15.75" customHeight="1">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row>
    <row r="576" spans="1:26" ht="15.75" customHeight="1">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row>
    <row r="577" spans="1:26" ht="15.75" customHeight="1">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row>
    <row r="578" spans="1:26" ht="15.75" customHeight="1">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row>
    <row r="579" spans="1:26" ht="15.75" customHeight="1">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row>
    <row r="580" spans="1:26" ht="15.75" customHeight="1">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row>
    <row r="581" spans="1:26" ht="15.75" customHeight="1">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row>
    <row r="582" spans="1:26" ht="15.75" customHeight="1">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row>
    <row r="583" spans="1:26" ht="15.75" customHeight="1">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row>
    <row r="584" spans="1:26" ht="15.75" customHeight="1">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row>
    <row r="585" spans="1:26" ht="15.75" customHeight="1">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row>
    <row r="586" spans="1:26" ht="15.75" customHeight="1">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row>
    <row r="587" spans="1:26" ht="15.75" customHeight="1">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row>
    <row r="588" spans="1:26" ht="15.75" customHeight="1">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row>
    <row r="589" spans="1:26" ht="15.75" customHeight="1">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row>
    <row r="590" spans="1:26" ht="15.75" customHeight="1">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row>
    <row r="591" spans="1:26" ht="15.75" customHeight="1">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row>
    <row r="592" spans="1:26" ht="15.75" customHeight="1">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row>
    <row r="593" spans="1:26" ht="15.75" customHeight="1">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row>
    <row r="594" spans="1:26" ht="15.75" customHeight="1">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row>
    <row r="595" spans="1:26" ht="15.75" customHeight="1">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row>
    <row r="596" spans="1:26" ht="15.75" customHeight="1">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row>
    <row r="597" spans="1:26" ht="15.75" customHeight="1">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row>
    <row r="598" spans="1:26" ht="15.75" customHeight="1">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row>
    <row r="599" spans="1:26" ht="15.75" customHeight="1">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row>
    <row r="600" spans="1:26" ht="15.75" customHeight="1">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row>
    <row r="601" spans="1:26" ht="15.75" customHeight="1">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row>
    <row r="602" spans="1:26" ht="15.75" customHeight="1">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row>
    <row r="603" spans="1:26" ht="15.75" customHeight="1">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row>
    <row r="604" spans="1:26" ht="15.75" customHeight="1">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row>
    <row r="605" spans="1:26" ht="15.75" customHeight="1">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row>
    <row r="606" spans="1:26" ht="15.75" customHeight="1">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row>
    <row r="607" spans="1:26" ht="15.75" customHeight="1">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row>
    <row r="608" spans="1:26" ht="15.75" customHeight="1">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row>
    <row r="609" spans="1:26" ht="15.75" customHeight="1">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row>
    <row r="610" spans="1:26" ht="15.75" customHeight="1">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row>
    <row r="611" spans="1:26" ht="15.75" customHeight="1">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row>
    <row r="612" spans="1:26" ht="15.75" customHeight="1">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row>
    <row r="613" spans="1:26" ht="15.75" customHeight="1">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row>
    <row r="614" spans="1:26" ht="15.75" customHeight="1">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row>
    <row r="615" spans="1:26" ht="15.75" customHeight="1">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row>
    <row r="616" spans="1:26" ht="15.75" customHeight="1">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row>
    <row r="617" spans="1:26" ht="15.75" customHeight="1">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row>
    <row r="618" spans="1:26" ht="15.75" customHeight="1">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row>
    <row r="619" spans="1:26" ht="15.75" customHeight="1">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row>
    <row r="620" spans="1:26" ht="15.75" customHeight="1">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row>
    <row r="621" spans="1:26" ht="15.75" customHeight="1">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row>
    <row r="622" spans="1:26" ht="15.75" customHeight="1">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row>
    <row r="623" spans="1:26" ht="15.75" customHeight="1">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row>
    <row r="624" spans="1:26" ht="15.75" customHeight="1">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row>
    <row r="625" spans="1:26" ht="15.75" customHeight="1">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row>
    <row r="626" spans="1:26" ht="15.75" customHeight="1">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row>
    <row r="627" spans="1:26" ht="15.75" customHeight="1">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row>
    <row r="628" spans="1:26" ht="15.75" customHeight="1">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row>
    <row r="629" spans="1:26" ht="15.75" customHeight="1">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row>
    <row r="630" spans="1:26" ht="15.75" customHeight="1">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row>
    <row r="631" spans="1:26" ht="15.75" customHeight="1">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row>
    <row r="632" spans="1:26" ht="15.75" customHeight="1">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row>
    <row r="633" spans="1:26" ht="15.75" customHeight="1">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row>
    <row r="634" spans="1:26" ht="15.75" customHeight="1">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row>
    <row r="635" spans="1:26" ht="15.75" customHeight="1">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row>
    <row r="636" spans="1:26" ht="15.75" customHeight="1">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row>
    <row r="637" spans="1:26" ht="15.75" customHeight="1">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row>
    <row r="638" spans="1:26" ht="15.75" customHeight="1">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row>
    <row r="639" spans="1:26" ht="15.75" customHeight="1">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row>
    <row r="640" spans="1:26" ht="15.75" customHeight="1">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row>
    <row r="641" spans="1:26" ht="15.75" customHeight="1">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row>
    <row r="642" spans="1:26" ht="15.75" customHeight="1">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row>
    <row r="643" spans="1:26" ht="15.75" customHeight="1">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row>
    <row r="644" spans="1:26" ht="15.75" customHeight="1">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row>
    <row r="645" spans="1:26" ht="15.75" customHeight="1">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row>
    <row r="646" spans="1:26" ht="15.75" customHeight="1">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row>
    <row r="647" spans="1:26" ht="15.75" customHeight="1">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row>
    <row r="648" spans="1:26" ht="15.75" customHeight="1">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row>
    <row r="649" spans="1:26" ht="15.75" customHeight="1">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row>
    <row r="650" spans="1:26" ht="15.75" customHeight="1">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row>
    <row r="651" spans="1:26" ht="15.75" customHeight="1">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row>
    <row r="652" spans="1:26" ht="15.75" customHeight="1">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row>
    <row r="653" spans="1:26" ht="15.75" customHeight="1">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row>
    <row r="654" spans="1:26" ht="15.75" customHeight="1">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row>
    <row r="655" spans="1:26" ht="15.75" customHeight="1">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row>
    <row r="656" spans="1:26" ht="15.75" customHeight="1">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row>
    <row r="657" spans="1:26" ht="15.75" customHeight="1">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row>
    <row r="658" spans="1:26" ht="15.75" customHeight="1">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row>
    <row r="659" spans="1:26" ht="15.75" customHeight="1">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row>
    <row r="660" spans="1:26" ht="15.75" customHeight="1">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row>
    <row r="661" spans="1:26" ht="15.75" customHeight="1">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row>
    <row r="662" spans="1:26" ht="15.75" customHeight="1">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row>
    <row r="663" spans="1:26" ht="15.75" customHeight="1">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row>
    <row r="664" spans="1:26" ht="15.75" customHeight="1">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row>
    <row r="665" spans="1:26" ht="15.75" customHeight="1">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row>
    <row r="666" spans="1:26" ht="15.75" customHeight="1">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row>
    <row r="667" spans="1:26" ht="15.75" customHeight="1">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row>
    <row r="668" spans="1:26" ht="15.75" customHeight="1">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row>
    <row r="669" spans="1:26" ht="15.75" customHeight="1">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row>
    <row r="670" spans="1:26" ht="15.75" customHeight="1">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row>
    <row r="671" spans="1:26" ht="15.75" customHeight="1">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row>
    <row r="672" spans="1:26" ht="15.75" customHeight="1">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row>
    <row r="673" spans="1:26" ht="15.75" customHeight="1">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row>
    <row r="674" spans="1:26" ht="15.75" customHeight="1">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row>
    <row r="675" spans="1:26" ht="15.75" customHeight="1">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row>
    <row r="676" spans="1:26" ht="15.75" customHeight="1">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row>
    <row r="677" spans="1:26" ht="15.75" customHeight="1">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row>
    <row r="678" spans="1:26" ht="15.75" customHeight="1">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row>
    <row r="679" spans="1:26" ht="15.75" customHeight="1">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row>
    <row r="680" spans="1:26" ht="15.75" customHeight="1">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row>
    <row r="681" spans="1:26" ht="15.75" customHeight="1">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row>
    <row r="682" spans="1:26" ht="15.75" customHeight="1">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row>
    <row r="683" spans="1:26" ht="15.75" customHeight="1">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row>
    <row r="684" spans="1:26" ht="15.75" customHeight="1">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row>
    <row r="685" spans="1:26" ht="15.75" customHeight="1">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row>
    <row r="686" spans="1:26" ht="15.75" customHeight="1">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row>
    <row r="687" spans="1:26" ht="15.75" customHeight="1">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row>
    <row r="688" spans="1:26" ht="15.75" customHeight="1">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row>
    <row r="689" spans="1:26" ht="15.75" customHeight="1">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row>
    <row r="690" spans="1:26" ht="15.75" customHeight="1">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row>
    <row r="691" spans="1:26" ht="15.75" customHeight="1">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row>
    <row r="692" spans="1:26" ht="15.75" customHeight="1">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row>
    <row r="693" spans="1:26" ht="15.75" customHeight="1">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row>
    <row r="694" spans="1:26" ht="15.75" customHeight="1">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row>
    <row r="695" spans="1:26" ht="15.75" customHeight="1">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row>
    <row r="696" spans="1:26" ht="15.75" customHeight="1">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row>
    <row r="697" spans="1:26" ht="15.75" customHeight="1">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row>
    <row r="698" spans="1:26" ht="15.75" customHeight="1">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row>
    <row r="699" spans="1:26" ht="15.75" customHeight="1">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row>
    <row r="700" spans="1:26" ht="15.75" customHeight="1">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row>
    <row r="701" spans="1:26" ht="15.75" customHeight="1">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row>
    <row r="702" spans="1:26" ht="15.75" customHeight="1">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row>
    <row r="703" spans="1:26" ht="15.75" customHeight="1">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row>
    <row r="704" spans="1:26" ht="15.75" customHeight="1">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row>
    <row r="705" spans="1:26" ht="15.75" customHeight="1">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row>
    <row r="706" spans="1:26" ht="15.75" customHeight="1">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row>
    <row r="707" spans="1:26" ht="15.75" customHeight="1">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row>
    <row r="708" spans="1:26" ht="15.75" customHeight="1">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row>
    <row r="709" spans="1:26" ht="15.75" customHeight="1">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row>
    <row r="710" spans="1:26" ht="15.75" customHeight="1">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row>
    <row r="711" spans="1:26" ht="15.75" customHeight="1">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row>
    <row r="712" spans="1:26" ht="15.75" customHeight="1">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row>
    <row r="713" spans="1:26" ht="15.75" customHeight="1">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row>
    <row r="714" spans="1:26" ht="15.75" customHeight="1">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row>
    <row r="715" spans="1:26" ht="15.75" customHeight="1">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row>
    <row r="716" spans="1:26" ht="15.75" customHeight="1">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row>
    <row r="717" spans="1:26" ht="15.75" customHeight="1">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row>
    <row r="718" spans="1:26" ht="15.75" customHeight="1">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row>
    <row r="719" spans="1:26" ht="15.75" customHeight="1">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row>
    <row r="720" spans="1:26" ht="15.75" customHeight="1">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row>
    <row r="721" spans="1:26" ht="15.75" customHeight="1">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row>
    <row r="722" spans="1:26" ht="15.75" customHeight="1">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row>
    <row r="723" spans="1:26" ht="15.75" customHeight="1">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row>
    <row r="724" spans="1:26" ht="15.75" customHeight="1">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row>
    <row r="725" spans="1:26" ht="15.75" customHeight="1">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row>
    <row r="726" spans="1:26" ht="15.75" customHeight="1">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row>
    <row r="727" spans="1:26" ht="15.75" customHeight="1">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row>
    <row r="728" spans="1:26" ht="15.75" customHeight="1">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row>
    <row r="729" spans="1:26" ht="15.75" customHeight="1">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row>
    <row r="730" spans="1:26" ht="15.75" customHeight="1">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row>
    <row r="731" spans="1:26" ht="15.75" customHeight="1">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row>
    <row r="732" spans="1:26" ht="15.75" customHeight="1">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row>
    <row r="733" spans="1:26" ht="15.75" customHeight="1">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row>
    <row r="734" spans="1:26" ht="15.75" customHeight="1">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row>
    <row r="735" spans="1:26" ht="15.75" customHeight="1">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row>
    <row r="736" spans="1:26" ht="15.75" customHeight="1">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row>
    <row r="737" spans="1:26" ht="15.75" customHeight="1">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row>
    <row r="738" spans="1:26" ht="15.75" customHeight="1">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row>
    <row r="739" spans="1:26" ht="15.75" customHeight="1">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row>
    <row r="740" spans="1:26" ht="15.75" customHeight="1">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row>
    <row r="741" spans="1:26" ht="15.75" customHeight="1">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row>
    <row r="742" spans="1:26" ht="15.75" customHeight="1">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row>
    <row r="743" spans="1:26" ht="15.75" customHeight="1">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row>
    <row r="744" spans="1:26" ht="15.75" customHeight="1">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row>
    <row r="745" spans="1:26" ht="15.75" customHeight="1">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row>
    <row r="746" spans="1:26" ht="15.75" customHeight="1">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row>
    <row r="747" spans="1:26" ht="15.75" customHeight="1">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row>
    <row r="748" spans="1:26" ht="15.75" customHeight="1">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row>
    <row r="749" spans="1:26" ht="15.75" customHeight="1">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row>
    <row r="750" spans="1:26" ht="15.75" customHeight="1">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row>
    <row r="751" spans="1:26" ht="15.75" customHeight="1">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row>
    <row r="752" spans="1:26" ht="15.75" customHeight="1">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row>
    <row r="753" spans="1:26" ht="15.75" customHeight="1">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row>
    <row r="754" spans="1:26" ht="15.75" customHeight="1">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row>
    <row r="755" spans="1:26" ht="15.75" customHeight="1">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row>
    <row r="756" spans="1:26" ht="15.75" customHeight="1">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row>
    <row r="757" spans="1:26" ht="15.75" customHeight="1">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row>
    <row r="758" spans="1:26" ht="15.75" customHeight="1">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row>
    <row r="759" spans="1:26" ht="15.75" customHeight="1">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row>
    <row r="760" spans="1:26" ht="15.75" customHeight="1">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row>
    <row r="761" spans="1:26" ht="15.75" customHeight="1">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row>
    <row r="762" spans="1:26" ht="15.75" customHeight="1">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row>
    <row r="763" spans="1:26" ht="15.75" customHeight="1">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row>
    <row r="764" spans="1:26" ht="15.75" customHeight="1">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row>
    <row r="765" spans="1:26" ht="15.75" customHeight="1">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row>
    <row r="766" spans="1:26" ht="15.75" customHeight="1">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row>
    <row r="767" spans="1:26" ht="15.75" customHeight="1">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row>
    <row r="768" spans="1:26" ht="15.75" customHeight="1">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row>
    <row r="769" spans="1:26" ht="15.75" customHeight="1">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row>
    <row r="770" spans="1:26" ht="15.75" customHeight="1">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row>
    <row r="771" spans="1:26" ht="15.75" customHeight="1">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row>
    <row r="772" spans="1:26" ht="15.75" customHeight="1">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row>
    <row r="773" spans="1:26" ht="15.75" customHeight="1">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row>
    <row r="774" spans="1:26" ht="15.75" customHeight="1">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row>
    <row r="775" spans="1:26" ht="15.75" customHeight="1">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row>
    <row r="776" spans="1:26" ht="15.75" customHeight="1">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row>
    <row r="777" spans="1:26" ht="15.75" customHeight="1">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row>
    <row r="778" spans="1:26" ht="15.75" customHeight="1">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row>
    <row r="779" spans="1:26" ht="15.75" customHeight="1">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row>
    <row r="780" spans="1:26" ht="15.75" customHeight="1">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row>
    <row r="781" spans="1:26" ht="15.75" customHeight="1">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row>
    <row r="782" spans="1:26" ht="15.75" customHeight="1">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row>
    <row r="783" spans="1:26" ht="15.75" customHeight="1">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row>
    <row r="784" spans="1:26" ht="15.75" customHeight="1">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row>
    <row r="785" spans="1:26" ht="15.75" customHeight="1">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row>
    <row r="786" spans="1:26" ht="15.75" customHeight="1">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row>
    <row r="787" spans="1:26" ht="15.75" customHeight="1">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row>
    <row r="788" spans="1:26" ht="15.75" customHeight="1">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row>
    <row r="789" spans="1:26" ht="15.75" customHeight="1">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row>
    <row r="790" spans="1:26" ht="15.75" customHeight="1">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row>
    <row r="791" spans="1:26" ht="15.75" customHeight="1">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row>
    <row r="792" spans="1:26" ht="15.75" customHeight="1">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row>
    <row r="793" spans="1:26" ht="15.75" customHeight="1">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row>
    <row r="794" spans="1:26" ht="15.75" customHeight="1">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row>
    <row r="795" spans="1:26" ht="15.75" customHeight="1">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row>
    <row r="796" spans="1:26" ht="15.75" customHeight="1">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row>
    <row r="797" spans="1:26" ht="15.75" customHeight="1">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row>
    <row r="798" spans="1:26" ht="15.75" customHeight="1">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row>
    <row r="799" spans="1:26" ht="15.75" customHeight="1">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row>
    <row r="800" spans="1:26" ht="15.75" customHeight="1">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row>
    <row r="801" spans="1:26" ht="15.75" customHeight="1">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row>
    <row r="802" spans="1:26" ht="15.75" customHeight="1">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row>
    <row r="803" spans="1:26" ht="15.75" customHeight="1">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row>
    <row r="804" spans="1:26" ht="15.75" customHeight="1">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row>
    <row r="805" spans="1:26" ht="15.75" customHeight="1">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row>
    <row r="806" spans="1:26" ht="15.75" customHeight="1">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row>
    <row r="807" spans="1:26" ht="15.75" customHeight="1">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row>
    <row r="808" spans="1:26" ht="15.75" customHeight="1">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row>
    <row r="809" spans="1:26" ht="15.75" customHeight="1">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row>
    <row r="810" spans="1:26" ht="15.75" customHeight="1">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row>
    <row r="811" spans="1:26" ht="15.75" customHeight="1">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row>
    <row r="812" spans="1:26" ht="15.75" customHeight="1">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row>
    <row r="813" spans="1:26" ht="15.75" customHeight="1">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row>
    <row r="814" spans="1:26" ht="15.75" customHeight="1">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row>
    <row r="815" spans="1:26" ht="15.75" customHeight="1">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row>
    <row r="816" spans="1:26" ht="15.75" customHeight="1">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row>
    <row r="817" spans="1:26" ht="15.75" customHeight="1">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row>
    <row r="818" spans="1:26" ht="15.75" customHeight="1">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row>
    <row r="819" spans="1:26" ht="15.75" customHeight="1">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row>
    <row r="820" spans="1:26" ht="15.75" customHeight="1">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row>
    <row r="821" spans="1:26" ht="15.75" customHeight="1">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row>
    <row r="822" spans="1:26" ht="15.75" customHeight="1">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row>
    <row r="823" spans="1:26" ht="15.75" customHeight="1">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row>
    <row r="824" spans="1:26" ht="15.75" customHeight="1">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row>
    <row r="825" spans="1:26" ht="15.75" customHeight="1">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row>
    <row r="826" spans="1:26" ht="15.75" customHeight="1">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row>
    <row r="827" spans="1:26" ht="15.75" customHeight="1">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row>
    <row r="828" spans="1:26" ht="15.75" customHeight="1">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row>
    <row r="829" spans="1:26" ht="15.75" customHeight="1">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row>
    <row r="830" spans="1:26" ht="15.75" customHeight="1">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row>
    <row r="831" spans="1:26" ht="15.75" customHeight="1">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row>
    <row r="832" spans="1:26" ht="15.75" customHeight="1">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row>
    <row r="833" spans="1:26" ht="15.75" customHeight="1">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row>
    <row r="834" spans="1:26" ht="15.75" customHeight="1">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row>
    <row r="835" spans="1:26" ht="15.75" customHeight="1">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row>
    <row r="836" spans="1:26" ht="15.75" customHeight="1">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row>
    <row r="837" spans="1:26" ht="15.75" customHeight="1">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row>
    <row r="838" spans="1:26" ht="15.75" customHeight="1">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row>
    <row r="839" spans="1:26" ht="15.75" customHeight="1">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row>
    <row r="840" spans="1:26" ht="15.75" customHeight="1">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row>
    <row r="841" spans="1:26" ht="15.75" customHeight="1">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row>
    <row r="842" spans="1:26" ht="15.75" customHeight="1">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row>
    <row r="843" spans="1:26" ht="15.75" customHeight="1">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row>
    <row r="844" spans="1:26" ht="15.75" customHeight="1">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row>
    <row r="845" spans="1:26" ht="15.75" customHeight="1">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row>
    <row r="846" spans="1:26" ht="15.75" customHeight="1">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row>
    <row r="847" spans="1:26" ht="15.75" customHeight="1">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row>
    <row r="848" spans="1:26" ht="15.75" customHeight="1">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row>
    <row r="849" spans="1:26" ht="15.75" customHeight="1">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row>
    <row r="850" spans="1:26" ht="15.75" customHeight="1">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row>
    <row r="851" spans="1:26" ht="15.75" customHeight="1">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row>
    <row r="852" spans="1:26" ht="15.75" customHeight="1">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row>
    <row r="853" spans="1:26" ht="15.75" customHeight="1">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row>
    <row r="854" spans="1:26" ht="15.75" customHeight="1">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row>
    <row r="855" spans="1:26" ht="15.75" customHeight="1">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row>
    <row r="856" spans="1:26" ht="15.75" customHeight="1">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row>
    <row r="857" spans="1:26" ht="15.75" customHeight="1">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row>
    <row r="858" spans="1:26" ht="15.75" customHeight="1">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row>
    <row r="859" spans="1:26" ht="15.75" customHeight="1">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row>
    <row r="860" spans="1:26" ht="15.75" customHeight="1">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row>
    <row r="861" spans="1:26" ht="15.75" customHeight="1">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row>
    <row r="862" spans="1:26" ht="15.75" customHeight="1">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row>
    <row r="863" spans="1:26" ht="15.75" customHeight="1">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row>
    <row r="864" spans="1:26" ht="15.75" customHeight="1">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row>
    <row r="865" spans="1:26" ht="15.75" customHeight="1">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row>
    <row r="866" spans="1:26" ht="15.75" customHeight="1">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row>
    <row r="867" spans="1:26" ht="15.75" customHeight="1">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row>
    <row r="868" spans="1:26" ht="15.75" customHeight="1">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row>
    <row r="869" spans="1:26" ht="15.75" customHeight="1">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row>
    <row r="870" spans="1:26" ht="15.75" customHeight="1">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row>
    <row r="871" spans="1:26" ht="15.75" customHeight="1">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row>
    <row r="872" spans="1:26" ht="15.75" customHeight="1">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row>
    <row r="873" spans="1:26" ht="15.75" customHeight="1">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row>
    <row r="874" spans="1:26" ht="15.75" customHeight="1">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row>
    <row r="875" spans="1:26" ht="15.75" customHeight="1">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row>
    <row r="876" spans="1:26" ht="15.75" customHeight="1">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row>
    <row r="877" spans="1:26" ht="15.75" customHeight="1">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row>
    <row r="878" spans="1:26" ht="15.75" customHeight="1">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row>
    <row r="879" spans="1:26" ht="15.75" customHeight="1">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row>
    <row r="880" spans="1:26" ht="15.75" customHeight="1">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row>
    <row r="881" spans="1:26" ht="15.75" customHeight="1">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row>
    <row r="882" spans="1:26" ht="15.75" customHeight="1">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row>
    <row r="883" spans="1:26" ht="15.75" customHeight="1">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row>
    <row r="884" spans="1:26" ht="15.75" customHeight="1">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row>
    <row r="885" spans="1:26" ht="15.75" customHeight="1">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row>
    <row r="886" spans="1:26" ht="15.75" customHeight="1">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row>
    <row r="887" spans="1:26" ht="15.75" customHeight="1">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row>
    <row r="888" spans="1:26" ht="15.75" customHeight="1">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row>
    <row r="889" spans="1:26" ht="15.75" customHeight="1">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row>
    <row r="890" spans="1:26" ht="15.75" customHeight="1">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row>
    <row r="891" spans="1:26" ht="15.75" customHeight="1">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row>
    <row r="892" spans="1:26" ht="15.75" customHeight="1">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row>
    <row r="893" spans="1:26" ht="15.75" customHeight="1">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row>
    <row r="894" spans="1:26" ht="15.75" customHeight="1">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row>
    <row r="895" spans="1:26" ht="15.75" customHeight="1">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row>
    <row r="896" spans="1:26" ht="15.75" customHeight="1">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row>
    <row r="897" spans="1:26" ht="15.75" customHeight="1">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row>
    <row r="898" spans="1:26" ht="15.75" customHeight="1">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row>
    <row r="899" spans="1:26" ht="15.75" customHeight="1">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row>
    <row r="900" spans="1:26" ht="15.75" customHeight="1">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row>
    <row r="901" spans="1:26" ht="15.75" customHeight="1">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row>
    <row r="902" spans="1:26" ht="15.75" customHeight="1">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row>
    <row r="903" spans="1:26" ht="15.75" customHeight="1">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row>
    <row r="904" spans="1:26" ht="15.75" customHeight="1">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row>
    <row r="905" spans="1:26" ht="15.75" customHeight="1">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row>
    <row r="906" spans="1:26" ht="15.75" customHeight="1">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row>
    <row r="907" spans="1:26" ht="15.75" customHeight="1">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row>
    <row r="908" spans="1:26" ht="15.75" customHeight="1">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row>
    <row r="909" spans="1:26" ht="15.75" customHeight="1">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row>
    <row r="910" spans="1:26" ht="15.75" customHeight="1">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row>
    <row r="911" spans="1:26" ht="15.75" customHeight="1">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row>
    <row r="912" spans="1:26" ht="15.75" customHeight="1">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row>
    <row r="913" spans="1:26" ht="15.75" customHeight="1">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row>
    <row r="914" spans="1:26" ht="15.75" customHeight="1">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row>
    <row r="915" spans="1:26" ht="15.75" customHeight="1">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row>
    <row r="916" spans="1:26" ht="15.75" customHeight="1">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row>
    <row r="917" spans="1:26" ht="15.75" customHeight="1">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row>
    <row r="918" spans="1:26" ht="15.75" customHeight="1">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row>
    <row r="919" spans="1:26" ht="15.75" customHeight="1">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row>
    <row r="920" spans="1:26" ht="15.75" customHeight="1">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row>
    <row r="921" spans="1:26" ht="15.75" customHeight="1">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row>
    <row r="922" spans="1:26" ht="15.75" customHeight="1">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row>
    <row r="923" spans="1:26" ht="15.75" customHeight="1">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row>
    <row r="924" spans="1:26" ht="15.75" customHeight="1">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row>
    <row r="925" spans="1:26" ht="15.75" customHeight="1">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row>
    <row r="926" spans="1:26" ht="15.75" customHeight="1">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row>
    <row r="927" spans="1:26" ht="15.75" customHeight="1">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row>
    <row r="928" spans="1:26" ht="15.75" customHeight="1">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row>
    <row r="929" spans="1:26" ht="15.75" customHeight="1">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row>
    <row r="930" spans="1:26" ht="15.75" customHeight="1">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row>
    <row r="931" spans="1:26" ht="15.75" customHeight="1">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row>
    <row r="932" spans="1:26" ht="15.75" customHeight="1">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row>
    <row r="933" spans="1:26" ht="15.75" customHeight="1">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row>
    <row r="934" spans="1:26" ht="15.75" customHeight="1">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row>
    <row r="935" spans="1:26" ht="15.75" customHeight="1">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row>
    <row r="936" spans="1:26" ht="15.75" customHeight="1">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row>
    <row r="937" spans="1:26" ht="15.75" customHeight="1">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row>
    <row r="938" spans="1:26" ht="15.75" customHeight="1">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row>
    <row r="939" spans="1:26" ht="15.75" customHeight="1">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row>
    <row r="940" spans="1:26" ht="15.75" customHeight="1">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row>
    <row r="941" spans="1:26" ht="15.75" customHeight="1">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row>
    <row r="942" spans="1:26" ht="15.75" customHeight="1">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row>
    <row r="943" spans="1:26" ht="15.75" customHeight="1">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row>
    <row r="944" spans="1:26" ht="15.75" customHeight="1">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row>
    <row r="945" spans="1:26" ht="15.75" customHeight="1">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row>
    <row r="946" spans="1:26" ht="15.75" customHeight="1">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row>
    <row r="947" spans="1:26" ht="15.75" customHeight="1">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row>
    <row r="948" spans="1:26" ht="15.75" customHeight="1">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row>
    <row r="949" spans="1:26" ht="15.75" customHeight="1">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row>
    <row r="950" spans="1:26" ht="15.75" customHeight="1">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row>
    <row r="951" spans="1:26" ht="15.75" customHeight="1">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row>
    <row r="952" spans="1:26" ht="15.75" customHeight="1">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2"/>
    </row>
    <row r="953" spans="1:26" ht="15.75" customHeight="1">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row>
    <row r="954" spans="1:26" ht="15.75" customHeight="1">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2"/>
    </row>
    <row r="955" spans="1:26" ht="15.75" customHeight="1">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row>
    <row r="956" spans="1:26" ht="15.75" customHeight="1">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2"/>
    </row>
    <row r="957" spans="1:26" ht="15.75" customHeight="1">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row>
    <row r="958" spans="1:26" ht="15.75" customHeight="1">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2"/>
    </row>
    <row r="959" spans="1:26" ht="15.75" customHeight="1">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row>
    <row r="960" spans="1:26" ht="15.75" customHeight="1">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2"/>
    </row>
    <row r="961" spans="1:26" ht="15.75" customHeight="1">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row>
    <row r="962" spans="1:26" ht="15.75" customHeight="1">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2"/>
    </row>
    <row r="963" spans="1:26" ht="15.75" customHeight="1">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row>
    <row r="964" spans="1:26" ht="15.75" customHeight="1">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2"/>
    </row>
    <row r="965" spans="1:26" ht="15.75" customHeight="1">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row>
    <row r="966" spans="1:26" ht="15.75" customHeight="1">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2"/>
    </row>
    <row r="967" spans="1:26" ht="15.75" customHeight="1">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row>
    <row r="968" spans="1:26" ht="15.75" customHeight="1">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2"/>
    </row>
    <row r="969" spans="1:26" ht="15.75" customHeight="1">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row>
    <row r="970" spans="1:26" ht="15.75" customHeight="1">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2"/>
    </row>
    <row r="971" spans="1:26" ht="15.75" customHeight="1">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row>
    <row r="972" spans="1:26" ht="15.75" customHeight="1">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2"/>
    </row>
    <row r="973" spans="1:26" ht="15.75" customHeight="1">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row>
    <row r="974" spans="1:26" ht="15.75" customHeight="1">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2"/>
    </row>
    <row r="975" spans="1:26" ht="15.75" customHeight="1">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row>
    <row r="976" spans="1:26" ht="15.75" customHeight="1">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2"/>
    </row>
    <row r="977" spans="1:26" ht="15.75" customHeight="1">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row>
    <row r="978" spans="1:26" ht="15.75" customHeight="1">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2"/>
    </row>
    <row r="979" spans="1:26" ht="15.75" customHeight="1">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row>
    <row r="980" spans="1:26" ht="15.75" customHeight="1">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2"/>
    </row>
    <row r="981" spans="1:26" ht="15.75" customHeight="1">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row>
    <row r="982" spans="1:26" ht="15.75" customHeight="1">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2"/>
    </row>
    <row r="983" spans="1:26" ht="15.75" customHeight="1">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row>
    <row r="984" spans="1:26" ht="15.75" customHeight="1">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2"/>
    </row>
    <row r="985" spans="1:26" ht="15.75" customHeight="1">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row>
    <row r="986" spans="1:26" ht="15.75" customHeight="1">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2"/>
    </row>
    <row r="987" spans="1:26" ht="15.75" customHeight="1">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row>
    <row r="988" spans="1:26" ht="15.75" customHeight="1">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2"/>
    </row>
    <row r="989" spans="1:26" ht="15.75" customHeight="1">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row>
    <row r="990" spans="1:26" ht="15.75" customHeight="1">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2"/>
    </row>
    <row r="991" spans="1:26" ht="15.75" customHeight="1">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row>
    <row r="992" spans="1:26" ht="15.75" customHeight="1">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2"/>
    </row>
    <row r="993" spans="1:26" ht="15.75" customHeight="1">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row>
    <row r="994" spans="1:26" ht="15.75" customHeight="1">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2"/>
    </row>
    <row r="995" spans="1:26" ht="15.75" customHeight="1">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row>
    <row r="996" spans="1:26" ht="15.75" customHeight="1">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2"/>
    </row>
    <row r="997" spans="1:26" ht="15.75" customHeight="1">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row>
    <row r="998" spans="1:26" ht="15.75" customHeight="1">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2"/>
    </row>
    <row r="999" spans="1:26" ht="15.75" customHeight="1">
      <c r="A999" s="52"/>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2"/>
    </row>
    <row r="1000" spans="1:26" ht="15.75" customHeight="1">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52"/>
      <c r="Y1000" s="52"/>
      <c r="Z1000" s="52"/>
    </row>
    <row r="1001" spans="1:26" ht="15.75" customHeight="1">
      <c r="A1001" s="52"/>
      <c r="B1001" s="52"/>
      <c r="C1001" s="52"/>
      <c r="D1001" s="52"/>
      <c r="E1001" s="52"/>
      <c r="F1001" s="52"/>
      <c r="G1001" s="52"/>
      <c r="H1001" s="52"/>
      <c r="I1001" s="52"/>
      <c r="J1001" s="52"/>
      <c r="K1001" s="52"/>
      <c r="L1001" s="52"/>
      <c r="M1001" s="52"/>
      <c r="N1001" s="52"/>
      <c r="O1001" s="52"/>
      <c r="P1001" s="52"/>
      <c r="Q1001" s="52"/>
      <c r="R1001" s="52"/>
      <c r="S1001" s="52"/>
      <c r="T1001" s="52"/>
      <c r="U1001" s="52"/>
      <c r="V1001" s="52"/>
      <c r="W1001" s="52"/>
      <c r="X1001" s="52"/>
      <c r="Y1001" s="52"/>
      <c r="Z1001" s="52"/>
    </row>
    <row r="1002" spans="1:26" ht="15.75" customHeight="1">
      <c r="A1002" s="52"/>
      <c r="B1002" s="52"/>
      <c r="C1002" s="52"/>
      <c r="D1002" s="52"/>
      <c r="E1002" s="52"/>
      <c r="F1002" s="52"/>
      <c r="G1002" s="52"/>
      <c r="H1002" s="52"/>
      <c r="I1002" s="52"/>
      <c r="J1002" s="52"/>
      <c r="K1002" s="52"/>
      <c r="L1002" s="52"/>
      <c r="M1002" s="52"/>
      <c r="N1002" s="52"/>
      <c r="O1002" s="52"/>
      <c r="P1002" s="52"/>
      <c r="Q1002" s="52"/>
      <c r="R1002" s="52"/>
      <c r="S1002" s="52"/>
      <c r="T1002" s="52"/>
      <c r="U1002" s="52"/>
      <c r="V1002" s="52"/>
      <c r="W1002" s="52"/>
      <c r="X1002" s="52"/>
      <c r="Y1002" s="52"/>
      <c r="Z1002" s="52"/>
    </row>
    <row r="1003" spans="1:26" ht="15.75" customHeight="1">
      <c r="A1003" s="52"/>
      <c r="B1003" s="52"/>
      <c r="C1003" s="52"/>
      <c r="D1003" s="52"/>
      <c r="E1003" s="52"/>
      <c r="F1003" s="52"/>
      <c r="G1003" s="52"/>
      <c r="H1003" s="52"/>
      <c r="I1003" s="52"/>
      <c r="J1003" s="52"/>
      <c r="K1003" s="52"/>
      <c r="L1003" s="52"/>
      <c r="M1003" s="52"/>
      <c r="N1003" s="52"/>
      <c r="O1003" s="52"/>
      <c r="P1003" s="52"/>
      <c r="Q1003" s="52"/>
      <c r="R1003" s="52"/>
      <c r="S1003" s="52"/>
      <c r="T1003" s="52"/>
      <c r="U1003" s="52"/>
      <c r="V1003" s="52"/>
      <c r="W1003" s="52"/>
      <c r="X1003" s="52"/>
      <c r="Y1003" s="52"/>
      <c r="Z1003" s="52"/>
    </row>
    <row r="1004" spans="1:26" ht="15.75" customHeight="1">
      <c r="A1004" s="52"/>
      <c r="B1004" s="52"/>
      <c r="C1004" s="52"/>
      <c r="D1004" s="52"/>
      <c r="E1004" s="52"/>
      <c r="F1004" s="52"/>
      <c r="G1004" s="52"/>
      <c r="H1004" s="52"/>
      <c r="I1004" s="52"/>
      <c r="J1004" s="52"/>
      <c r="K1004" s="52"/>
      <c r="L1004" s="52"/>
      <c r="M1004" s="52"/>
      <c r="N1004" s="52"/>
      <c r="O1004" s="52"/>
      <c r="P1004" s="52"/>
      <c r="Q1004" s="52"/>
      <c r="R1004" s="52"/>
      <c r="S1004" s="52"/>
      <c r="T1004" s="52"/>
      <c r="U1004" s="52"/>
      <c r="V1004" s="52"/>
      <c r="W1004" s="52"/>
      <c r="X1004" s="52"/>
      <c r="Y1004" s="52"/>
      <c r="Z1004" s="52"/>
    </row>
    <row r="1005" spans="1:26" ht="15.75" customHeight="1">
      <c r="A1005" s="52"/>
      <c r="B1005" s="52"/>
      <c r="C1005" s="52"/>
      <c r="D1005" s="52"/>
      <c r="E1005" s="52"/>
      <c r="F1005" s="52"/>
      <c r="G1005" s="52"/>
      <c r="H1005" s="52"/>
      <c r="I1005" s="52"/>
      <c r="J1005" s="52"/>
      <c r="K1005" s="52"/>
      <c r="L1005" s="52"/>
      <c r="M1005" s="52"/>
      <c r="N1005" s="52"/>
      <c r="O1005" s="52"/>
      <c r="P1005" s="52"/>
      <c r="Q1005" s="52"/>
      <c r="R1005" s="52"/>
      <c r="S1005" s="52"/>
      <c r="T1005" s="52"/>
      <c r="U1005" s="52"/>
      <c r="V1005" s="52"/>
      <c r="W1005" s="52"/>
      <c r="X1005" s="52"/>
      <c r="Y1005" s="52"/>
      <c r="Z1005" s="52"/>
    </row>
  </sheetData>
  <sheetProtection algorithmName="SHA-512" hashValue="HotZ7ILBDL/oHdiQJjYIXOfqgAIe1eSsXH7ExVldhb+nfZkuJnG2qk9HiLGMZOfiEt4afI2g6dnxq7jAmzrGxA==" saltValue="YqDJRwhj/r7cZaAjKkaEXg==" spinCount="100000" sheet="1" objects="1" scenarios="1" selectLockedCells="1"/>
  <mergeCells count="17">
    <mergeCell ref="C19:R19"/>
    <mergeCell ref="C23:R23"/>
    <mergeCell ref="C36:R36"/>
    <mergeCell ref="D42:R42"/>
    <mergeCell ref="D43:R43"/>
    <mergeCell ref="D30:R30"/>
    <mergeCell ref="D25:R25"/>
    <mergeCell ref="D26:R26"/>
    <mergeCell ref="D27:R27"/>
    <mergeCell ref="D28:R28"/>
    <mergeCell ref="D29:R29"/>
    <mergeCell ref="D45:R45"/>
    <mergeCell ref="D46:R46"/>
    <mergeCell ref="D47:R47"/>
    <mergeCell ref="C51:R51"/>
    <mergeCell ref="C31:R31"/>
    <mergeCell ref="D44:R44"/>
  </mergeCells>
  <pageMargins left="0.7" right="0.7" top="0.75" bottom="0.75" header="0" footer="0"/>
  <pageSetup paperSize="9"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932A6-CE1A-4688-A10D-9D54BFD9CE4B}">
  <sheetPr>
    <tabColor theme="0" tint="-0.499984740745262"/>
  </sheetPr>
  <dimension ref="A1:WVO50"/>
  <sheetViews>
    <sheetView zoomScaleNormal="100" workbookViewId="0">
      <pane xSplit="1" ySplit="4" topLeftCell="B5" activePane="bottomRight" state="frozen"/>
      <selection pane="bottomRight" activeCell="C9" sqref="C9"/>
      <selection pane="bottomLeft" activeCell="B22" sqref="B22"/>
      <selection pane="topRight" activeCell="B22" sqref="B22"/>
    </sheetView>
  </sheetViews>
  <sheetFormatPr defaultColWidth="0" defaultRowHeight="14.1" zeroHeight="1"/>
  <cols>
    <col min="1" max="1" width="8.85546875" style="66" customWidth="1"/>
    <col min="2" max="2" width="26.5703125" style="66" customWidth="1"/>
    <col min="3" max="3" width="16.140625" style="66" customWidth="1"/>
    <col min="4" max="4" width="27" style="66" customWidth="1"/>
    <col min="5" max="6" width="11.140625" style="66" bestFit="1" customWidth="1"/>
    <col min="7" max="7" width="11" style="66" bestFit="1" customWidth="1"/>
    <col min="8" max="10" width="8.85546875" style="66" customWidth="1"/>
    <col min="11" max="11" width="3.42578125" style="66" hidden="1"/>
    <col min="12" max="256" width="8.85546875" style="66" hidden="1"/>
    <col min="257" max="257" width="11" style="66" hidden="1"/>
    <col min="258" max="262" width="11.140625" style="66" hidden="1"/>
    <col min="263" max="263" width="11" style="66" hidden="1"/>
    <col min="264" max="512" width="8.85546875" style="66" hidden="1"/>
    <col min="513" max="513" width="11" style="66" hidden="1"/>
    <col min="514" max="518" width="11.140625" style="66" hidden="1"/>
    <col min="519" max="519" width="11" style="66" hidden="1"/>
    <col min="520" max="768" width="8.85546875" style="66" hidden="1"/>
    <col min="769" max="769" width="11" style="66" hidden="1"/>
    <col min="770" max="774" width="11.140625" style="66" hidden="1"/>
    <col min="775" max="775" width="11" style="66" hidden="1"/>
    <col min="776" max="1024" width="8.85546875" style="66" hidden="1"/>
    <col min="1025" max="1025" width="11" style="66" hidden="1"/>
    <col min="1026" max="1030" width="11.140625" style="66" hidden="1"/>
    <col min="1031" max="1031" width="11" style="66" hidden="1"/>
    <col min="1032" max="1280" width="8.85546875" style="66" hidden="1"/>
    <col min="1281" max="1281" width="11" style="66" hidden="1"/>
    <col min="1282" max="1286" width="11.140625" style="66" hidden="1"/>
    <col min="1287" max="1287" width="11" style="66" hidden="1"/>
    <col min="1288" max="1536" width="8.85546875" style="66" hidden="1"/>
    <col min="1537" max="1537" width="11" style="66" hidden="1"/>
    <col min="1538" max="1542" width="11.140625" style="66" hidden="1"/>
    <col min="1543" max="1543" width="11" style="66" hidden="1"/>
    <col min="1544" max="1792" width="8.85546875" style="66" hidden="1"/>
    <col min="1793" max="1793" width="11" style="66" hidden="1"/>
    <col min="1794" max="1798" width="11.140625" style="66" hidden="1"/>
    <col min="1799" max="1799" width="11" style="66" hidden="1"/>
    <col min="1800" max="2048" width="8.85546875" style="66" hidden="1"/>
    <col min="2049" max="2049" width="11" style="66" hidden="1"/>
    <col min="2050" max="2054" width="11.140625" style="66" hidden="1"/>
    <col min="2055" max="2055" width="11" style="66" hidden="1"/>
    <col min="2056" max="2304" width="8.85546875" style="66" hidden="1"/>
    <col min="2305" max="2305" width="11" style="66" hidden="1"/>
    <col min="2306" max="2310" width="11.140625" style="66" hidden="1"/>
    <col min="2311" max="2311" width="11" style="66" hidden="1"/>
    <col min="2312" max="2560" width="8.85546875" style="66" hidden="1"/>
    <col min="2561" max="2561" width="11" style="66" hidden="1"/>
    <col min="2562" max="2566" width="11.140625" style="66" hidden="1"/>
    <col min="2567" max="2567" width="11" style="66" hidden="1"/>
    <col min="2568" max="2816" width="8.85546875" style="66" hidden="1"/>
    <col min="2817" max="2817" width="11" style="66" hidden="1"/>
    <col min="2818" max="2822" width="11.140625" style="66" hidden="1"/>
    <col min="2823" max="2823" width="11" style="66" hidden="1"/>
    <col min="2824" max="3072" width="8.85546875" style="66" hidden="1"/>
    <col min="3073" max="3073" width="11" style="66" hidden="1"/>
    <col min="3074" max="3078" width="11.140625" style="66" hidden="1"/>
    <col min="3079" max="3079" width="11" style="66" hidden="1"/>
    <col min="3080" max="3328" width="8.85546875" style="66" hidden="1"/>
    <col min="3329" max="3329" width="11" style="66" hidden="1"/>
    <col min="3330" max="3334" width="11.140625" style="66" hidden="1"/>
    <col min="3335" max="3335" width="11" style="66" hidden="1"/>
    <col min="3336" max="3584" width="8.85546875" style="66" hidden="1"/>
    <col min="3585" max="3585" width="11" style="66" hidden="1"/>
    <col min="3586" max="3590" width="11.140625" style="66" hidden="1"/>
    <col min="3591" max="3591" width="11" style="66" hidden="1"/>
    <col min="3592" max="3840" width="8.85546875" style="66" hidden="1"/>
    <col min="3841" max="3841" width="11" style="66" hidden="1"/>
    <col min="3842" max="3846" width="11.140625" style="66" hidden="1"/>
    <col min="3847" max="3847" width="11" style="66" hidden="1"/>
    <col min="3848" max="4096" width="8.85546875" style="66" hidden="1"/>
    <col min="4097" max="4097" width="11" style="66" hidden="1"/>
    <col min="4098" max="4102" width="11.140625" style="66" hidden="1"/>
    <col min="4103" max="4103" width="11" style="66" hidden="1"/>
    <col min="4104" max="4352" width="8.85546875" style="66" hidden="1"/>
    <col min="4353" max="4353" width="11" style="66" hidden="1"/>
    <col min="4354" max="4358" width="11.140625" style="66" hidden="1"/>
    <col min="4359" max="4359" width="11" style="66" hidden="1"/>
    <col min="4360" max="4608" width="8.85546875" style="66" hidden="1"/>
    <col min="4609" max="4609" width="11" style="66" hidden="1"/>
    <col min="4610" max="4614" width="11.140625" style="66" hidden="1"/>
    <col min="4615" max="4615" width="11" style="66" hidden="1"/>
    <col min="4616" max="4864" width="8.85546875" style="66" hidden="1"/>
    <col min="4865" max="4865" width="11" style="66" hidden="1"/>
    <col min="4866" max="4870" width="11.140625" style="66" hidden="1"/>
    <col min="4871" max="4871" width="11" style="66" hidden="1"/>
    <col min="4872" max="5120" width="8.85546875" style="66" hidden="1"/>
    <col min="5121" max="5121" width="11" style="66" hidden="1"/>
    <col min="5122" max="5126" width="11.140625" style="66" hidden="1"/>
    <col min="5127" max="5127" width="11" style="66" hidden="1"/>
    <col min="5128" max="5376" width="8.85546875" style="66" hidden="1"/>
    <col min="5377" max="5377" width="11" style="66" hidden="1"/>
    <col min="5378" max="5382" width="11.140625" style="66" hidden="1"/>
    <col min="5383" max="5383" width="11" style="66" hidden="1"/>
    <col min="5384" max="5632" width="8.85546875" style="66" hidden="1"/>
    <col min="5633" max="5633" width="11" style="66" hidden="1"/>
    <col min="5634" max="5638" width="11.140625" style="66" hidden="1"/>
    <col min="5639" max="5639" width="11" style="66" hidden="1"/>
    <col min="5640" max="5888" width="8.85546875" style="66" hidden="1"/>
    <col min="5889" max="5889" width="11" style="66" hidden="1"/>
    <col min="5890" max="5894" width="11.140625" style="66" hidden="1"/>
    <col min="5895" max="5895" width="11" style="66" hidden="1"/>
    <col min="5896" max="6144" width="8.85546875" style="66" hidden="1"/>
    <col min="6145" max="6145" width="11" style="66" hidden="1"/>
    <col min="6146" max="6150" width="11.140625" style="66" hidden="1"/>
    <col min="6151" max="6151" width="11" style="66" hidden="1"/>
    <col min="6152" max="6400" width="8.85546875" style="66" hidden="1"/>
    <col min="6401" max="6401" width="11" style="66" hidden="1"/>
    <col min="6402" max="6406" width="11.140625" style="66" hidden="1"/>
    <col min="6407" max="6407" width="11" style="66" hidden="1"/>
    <col min="6408" max="6656" width="8.85546875" style="66" hidden="1"/>
    <col min="6657" max="6657" width="11" style="66" hidden="1"/>
    <col min="6658" max="6662" width="11.140625" style="66" hidden="1"/>
    <col min="6663" max="6663" width="11" style="66" hidden="1"/>
    <col min="6664" max="6912" width="8.85546875" style="66" hidden="1"/>
    <col min="6913" max="6913" width="11" style="66" hidden="1"/>
    <col min="6914" max="6918" width="11.140625" style="66" hidden="1"/>
    <col min="6919" max="6919" width="11" style="66" hidden="1"/>
    <col min="6920" max="7168" width="8.85546875" style="66" hidden="1"/>
    <col min="7169" max="7169" width="11" style="66" hidden="1"/>
    <col min="7170" max="7174" width="11.140625" style="66" hidden="1"/>
    <col min="7175" max="7175" width="11" style="66" hidden="1"/>
    <col min="7176" max="7424" width="8.85546875" style="66" hidden="1"/>
    <col min="7425" max="7425" width="11" style="66" hidden="1"/>
    <col min="7426" max="7430" width="11.140625" style="66" hidden="1"/>
    <col min="7431" max="7431" width="11" style="66" hidden="1"/>
    <col min="7432" max="7680" width="8.85546875" style="66" hidden="1"/>
    <col min="7681" max="7681" width="11" style="66" hidden="1"/>
    <col min="7682" max="7686" width="11.140625" style="66" hidden="1"/>
    <col min="7687" max="7687" width="11" style="66" hidden="1"/>
    <col min="7688" max="7936" width="8.85546875" style="66" hidden="1"/>
    <col min="7937" max="7937" width="11" style="66" hidden="1"/>
    <col min="7938" max="7942" width="11.140625" style="66" hidden="1"/>
    <col min="7943" max="7943" width="11" style="66" hidden="1"/>
    <col min="7944" max="8192" width="8.85546875" style="66" hidden="1"/>
    <col min="8193" max="8193" width="11" style="66" hidden="1"/>
    <col min="8194" max="8198" width="11.140625" style="66" hidden="1"/>
    <col min="8199" max="8199" width="11" style="66" hidden="1"/>
    <col min="8200" max="8448" width="8.85546875" style="66" hidden="1"/>
    <col min="8449" max="8449" width="11" style="66" hidden="1"/>
    <col min="8450" max="8454" width="11.140625" style="66" hidden="1"/>
    <col min="8455" max="8455" width="11" style="66" hidden="1"/>
    <col min="8456" max="8704" width="8.85546875" style="66" hidden="1"/>
    <col min="8705" max="8705" width="11" style="66" hidden="1"/>
    <col min="8706" max="8710" width="11.140625" style="66" hidden="1"/>
    <col min="8711" max="8711" width="11" style="66" hidden="1"/>
    <col min="8712" max="8960" width="8.85546875" style="66" hidden="1"/>
    <col min="8961" max="8961" width="11" style="66" hidden="1"/>
    <col min="8962" max="8966" width="11.140625" style="66" hidden="1"/>
    <col min="8967" max="8967" width="11" style="66" hidden="1"/>
    <col min="8968" max="9216" width="8.85546875" style="66" hidden="1"/>
    <col min="9217" max="9217" width="11" style="66" hidden="1"/>
    <col min="9218" max="9222" width="11.140625" style="66" hidden="1"/>
    <col min="9223" max="9223" width="11" style="66" hidden="1"/>
    <col min="9224" max="9472" width="8.85546875" style="66" hidden="1"/>
    <col min="9473" max="9473" width="11" style="66" hidden="1"/>
    <col min="9474" max="9478" width="11.140625" style="66" hidden="1"/>
    <col min="9479" max="9479" width="11" style="66" hidden="1"/>
    <col min="9480" max="9728" width="8.85546875" style="66" hidden="1"/>
    <col min="9729" max="9729" width="11" style="66" hidden="1"/>
    <col min="9730" max="9734" width="11.140625" style="66" hidden="1"/>
    <col min="9735" max="9735" width="11" style="66" hidden="1"/>
    <col min="9736" max="9984" width="8.85546875" style="66" hidden="1"/>
    <col min="9985" max="9985" width="11" style="66" hidden="1"/>
    <col min="9986" max="9990" width="11.140625" style="66" hidden="1"/>
    <col min="9991" max="9991" width="11" style="66" hidden="1"/>
    <col min="9992" max="10240" width="8.85546875" style="66" hidden="1"/>
    <col min="10241" max="10241" width="11" style="66" hidden="1"/>
    <col min="10242" max="10246" width="11.140625" style="66" hidden="1"/>
    <col min="10247" max="10247" width="11" style="66" hidden="1"/>
    <col min="10248" max="10496" width="8.85546875" style="66" hidden="1"/>
    <col min="10497" max="10497" width="11" style="66" hidden="1"/>
    <col min="10498" max="10502" width="11.140625" style="66" hidden="1"/>
    <col min="10503" max="10503" width="11" style="66" hidden="1"/>
    <col min="10504" max="10752" width="8.85546875" style="66" hidden="1"/>
    <col min="10753" max="10753" width="11" style="66" hidden="1"/>
    <col min="10754" max="10758" width="11.140625" style="66" hidden="1"/>
    <col min="10759" max="10759" width="11" style="66" hidden="1"/>
    <col min="10760" max="11008" width="8.85546875" style="66" hidden="1"/>
    <col min="11009" max="11009" width="11" style="66" hidden="1"/>
    <col min="11010" max="11014" width="11.140625" style="66" hidden="1"/>
    <col min="11015" max="11015" width="11" style="66" hidden="1"/>
    <col min="11016" max="11264" width="8.85546875" style="66" hidden="1"/>
    <col min="11265" max="11265" width="11" style="66" hidden="1"/>
    <col min="11266" max="11270" width="11.140625" style="66" hidden="1"/>
    <col min="11271" max="11271" width="11" style="66" hidden="1"/>
    <col min="11272" max="11520" width="8.85546875" style="66" hidden="1"/>
    <col min="11521" max="11521" width="11" style="66" hidden="1"/>
    <col min="11522" max="11526" width="11.140625" style="66" hidden="1"/>
    <col min="11527" max="11527" width="11" style="66" hidden="1"/>
    <col min="11528" max="11776" width="8.85546875" style="66" hidden="1"/>
    <col min="11777" max="11777" width="11" style="66" hidden="1"/>
    <col min="11778" max="11782" width="11.140625" style="66" hidden="1"/>
    <col min="11783" max="11783" width="11" style="66" hidden="1"/>
    <col min="11784" max="12032" width="8.85546875" style="66" hidden="1"/>
    <col min="12033" max="12033" width="11" style="66" hidden="1"/>
    <col min="12034" max="12038" width="11.140625" style="66" hidden="1"/>
    <col min="12039" max="12039" width="11" style="66" hidden="1"/>
    <col min="12040" max="12288" width="8.85546875" style="66" hidden="1"/>
    <col min="12289" max="12289" width="11" style="66" hidden="1"/>
    <col min="12290" max="12294" width="11.140625" style="66" hidden="1"/>
    <col min="12295" max="12295" width="11" style="66" hidden="1"/>
    <col min="12296" max="12544" width="8.85546875" style="66" hidden="1"/>
    <col min="12545" max="12545" width="11" style="66" hidden="1"/>
    <col min="12546" max="12550" width="11.140625" style="66" hidden="1"/>
    <col min="12551" max="12551" width="11" style="66" hidden="1"/>
    <col min="12552" max="12800" width="8.85546875" style="66" hidden="1"/>
    <col min="12801" max="12801" width="11" style="66" hidden="1"/>
    <col min="12802" max="12806" width="11.140625" style="66" hidden="1"/>
    <col min="12807" max="12807" width="11" style="66" hidden="1"/>
    <col min="12808" max="13056" width="8.85546875" style="66" hidden="1"/>
    <col min="13057" max="13057" width="11" style="66" hidden="1"/>
    <col min="13058" max="13062" width="11.140625" style="66" hidden="1"/>
    <col min="13063" max="13063" width="11" style="66" hidden="1"/>
    <col min="13064" max="13312" width="8.85546875" style="66" hidden="1"/>
    <col min="13313" max="13313" width="11" style="66" hidden="1"/>
    <col min="13314" max="13318" width="11.140625" style="66" hidden="1"/>
    <col min="13319" max="13319" width="11" style="66" hidden="1"/>
    <col min="13320" max="13568" width="8.85546875" style="66" hidden="1"/>
    <col min="13569" max="13569" width="11" style="66" hidden="1"/>
    <col min="13570" max="13574" width="11.140625" style="66" hidden="1"/>
    <col min="13575" max="13575" width="11" style="66" hidden="1"/>
    <col min="13576" max="13824" width="8.85546875" style="66" hidden="1"/>
    <col min="13825" max="13825" width="11" style="66" hidden="1"/>
    <col min="13826" max="13830" width="11.140625" style="66" hidden="1"/>
    <col min="13831" max="13831" width="11" style="66" hidden="1"/>
    <col min="13832" max="14080" width="8.85546875" style="66" hidden="1"/>
    <col min="14081" max="14081" width="11" style="66" hidden="1"/>
    <col min="14082" max="14086" width="11.140625" style="66" hidden="1"/>
    <col min="14087" max="14087" width="11" style="66" hidden="1"/>
    <col min="14088" max="14336" width="8.85546875" style="66" hidden="1"/>
    <col min="14337" max="14337" width="11" style="66" hidden="1"/>
    <col min="14338" max="14342" width="11.140625" style="66" hidden="1"/>
    <col min="14343" max="14343" width="11" style="66" hidden="1"/>
    <col min="14344" max="14592" width="8.85546875" style="66" hidden="1"/>
    <col min="14593" max="14593" width="11" style="66" hidden="1"/>
    <col min="14594" max="14598" width="11.140625" style="66" hidden="1"/>
    <col min="14599" max="14599" width="11" style="66" hidden="1"/>
    <col min="14600" max="14848" width="8.85546875" style="66" hidden="1"/>
    <col min="14849" max="14849" width="11" style="66" hidden="1"/>
    <col min="14850" max="14854" width="11.140625" style="66" hidden="1"/>
    <col min="14855" max="14855" width="11" style="66" hidden="1"/>
    <col min="14856" max="15104" width="8.85546875" style="66" hidden="1"/>
    <col min="15105" max="15105" width="11" style="66" hidden="1"/>
    <col min="15106" max="15110" width="11.140625" style="66" hidden="1"/>
    <col min="15111" max="15111" width="11" style="66" hidden="1"/>
    <col min="15112" max="15360" width="8.85546875" style="66" hidden="1"/>
    <col min="15361" max="15361" width="11" style="66" hidden="1"/>
    <col min="15362" max="15366" width="11.140625" style="66" hidden="1"/>
    <col min="15367" max="15367" width="11" style="66" hidden="1"/>
    <col min="15368" max="15616" width="8.85546875" style="66" hidden="1"/>
    <col min="15617" max="15617" width="11" style="66" hidden="1"/>
    <col min="15618" max="15622" width="11.140625" style="66" hidden="1"/>
    <col min="15623" max="15623" width="11" style="66" hidden="1"/>
    <col min="15624" max="15872" width="8.85546875" style="66" hidden="1"/>
    <col min="15873" max="15873" width="11" style="66" hidden="1"/>
    <col min="15874" max="15878" width="11.140625" style="66" hidden="1"/>
    <col min="15879" max="15879" width="11" style="66" hidden="1"/>
    <col min="15880" max="16128" width="8.85546875" style="66" hidden="1"/>
    <col min="16129" max="16129" width="11" style="66" hidden="1"/>
    <col min="16130" max="16134" width="11.140625" style="66" hidden="1"/>
    <col min="16135" max="16135" width="11" style="66" hidden="1"/>
    <col min="16136" max="16384" width="8.85546875" style="66" hidden="1"/>
  </cols>
  <sheetData>
    <row r="1" spans="1:13" ht="27" hidden="1" customHeight="1">
      <c r="A1" s="113"/>
      <c r="B1" s="113"/>
      <c r="C1" s="114"/>
      <c r="D1" s="114"/>
      <c r="E1" s="114"/>
      <c r="F1" s="114"/>
      <c r="G1" s="114"/>
      <c r="H1" s="114"/>
      <c r="I1" s="114"/>
      <c r="J1" s="114"/>
      <c r="K1" s="112"/>
      <c r="L1" s="112"/>
      <c r="M1" s="112"/>
    </row>
    <row r="2" spans="1:13" ht="46.5" customHeight="1">
      <c r="A2" s="113"/>
      <c r="B2" s="113"/>
      <c r="C2" s="114" t="s">
        <v>71</v>
      </c>
      <c r="D2" s="114"/>
      <c r="E2" s="114"/>
      <c r="F2" s="114"/>
      <c r="G2" s="114"/>
      <c r="H2" s="114"/>
      <c r="I2" s="114"/>
      <c r="J2" s="114"/>
      <c r="K2" s="112"/>
      <c r="L2" s="112"/>
      <c r="M2" s="112"/>
    </row>
    <row r="3" spans="1:13" ht="14.25" customHeight="1">
      <c r="A3" s="115"/>
      <c r="B3" s="115"/>
      <c r="C3" s="114"/>
      <c r="D3" s="114"/>
      <c r="E3" s="114"/>
      <c r="F3" s="114"/>
      <c r="G3" s="114"/>
      <c r="H3" s="114"/>
      <c r="I3" s="114"/>
      <c r="J3" s="114"/>
      <c r="K3" s="112"/>
      <c r="L3" s="112"/>
      <c r="M3" s="112"/>
    </row>
    <row r="4" spans="1:13" ht="14.45">
      <c r="A4" s="60"/>
      <c r="B4" s="214"/>
      <c r="C4" s="226"/>
      <c r="D4" s="226"/>
      <c r="E4" s="61"/>
      <c r="F4" s="62"/>
      <c r="G4" s="60"/>
      <c r="H4" s="63"/>
      <c r="I4" s="63"/>
      <c r="J4" s="61"/>
    </row>
    <row r="5" spans="1:13" ht="28.5" customHeight="1">
      <c r="A5" s="115"/>
      <c r="B5" s="115"/>
      <c r="C5" s="115" t="s">
        <v>72</v>
      </c>
      <c r="D5" s="115" t="s">
        <v>73</v>
      </c>
      <c r="E5" s="115"/>
      <c r="F5" s="115"/>
      <c r="G5" s="115"/>
      <c r="H5" s="115"/>
      <c r="I5" s="115"/>
      <c r="J5" s="115"/>
    </row>
    <row r="6" spans="1:13">
      <c r="A6" s="115"/>
      <c r="B6" s="67" t="s">
        <v>74</v>
      </c>
      <c r="C6" s="120">
        <v>240</v>
      </c>
      <c r="D6" s="68">
        <v>212</v>
      </c>
      <c r="E6" s="115"/>
      <c r="F6" s="115"/>
      <c r="G6" s="115"/>
      <c r="H6" s="115"/>
      <c r="I6" s="115"/>
      <c r="J6" s="115"/>
    </row>
    <row r="7" spans="1:13">
      <c r="A7" s="115"/>
      <c r="B7" s="67" t="s">
        <v>75</v>
      </c>
      <c r="C7" s="120">
        <v>110</v>
      </c>
      <c r="D7" s="68"/>
      <c r="E7" s="115"/>
      <c r="F7" s="115"/>
      <c r="G7" s="115"/>
      <c r="H7" s="115"/>
      <c r="I7" s="115"/>
      <c r="J7" s="115"/>
    </row>
    <row r="8" spans="1:13">
      <c r="A8" s="115"/>
      <c r="B8" s="67" t="s">
        <v>76</v>
      </c>
      <c r="C8" s="120">
        <v>114</v>
      </c>
      <c r="D8" s="68">
        <v>94</v>
      </c>
      <c r="E8" s="115"/>
      <c r="F8" s="115"/>
      <c r="G8" s="115"/>
      <c r="H8" s="115"/>
      <c r="I8" s="115"/>
      <c r="J8" s="115"/>
    </row>
    <row r="9" spans="1:13">
      <c r="A9" s="115"/>
      <c r="B9" s="67" t="s">
        <v>77</v>
      </c>
      <c r="C9" s="120"/>
      <c r="D9" s="68"/>
      <c r="E9" s="115"/>
      <c r="F9" s="115"/>
      <c r="G9" s="115"/>
      <c r="H9" s="115"/>
      <c r="I9" s="115"/>
      <c r="J9" s="115"/>
    </row>
    <row r="10" spans="1:13">
      <c r="A10" s="115"/>
      <c r="B10" s="67" t="s">
        <v>78</v>
      </c>
      <c r="C10" s="120">
        <v>17</v>
      </c>
      <c r="D10" s="68"/>
      <c r="E10" s="115"/>
      <c r="F10" s="115"/>
      <c r="G10" s="115"/>
      <c r="H10" s="115"/>
      <c r="I10" s="115"/>
      <c r="J10" s="115"/>
    </row>
    <row r="11" spans="1:13">
      <c r="A11" s="115"/>
      <c r="B11" s="67" t="s">
        <v>79</v>
      </c>
      <c r="C11" s="120">
        <v>0</v>
      </c>
      <c r="D11" s="68"/>
      <c r="E11" s="115"/>
      <c r="F11" s="115"/>
      <c r="G11" s="115"/>
      <c r="H11" s="115"/>
      <c r="I11" s="115"/>
      <c r="J11" s="115"/>
    </row>
    <row r="12" spans="1:13">
      <c r="A12" s="115"/>
      <c r="B12" s="67" t="s">
        <v>80</v>
      </c>
      <c r="C12" s="120"/>
      <c r="D12" s="68"/>
      <c r="E12" s="115"/>
      <c r="F12" s="115"/>
      <c r="G12" s="115"/>
      <c r="H12" s="115"/>
      <c r="I12" s="115"/>
      <c r="J12" s="115"/>
    </row>
    <row r="13" spans="1:13">
      <c r="A13" s="115"/>
      <c r="B13" s="67" t="s">
        <v>81</v>
      </c>
      <c r="C13" s="120"/>
      <c r="D13" s="68"/>
      <c r="E13" s="115"/>
      <c r="F13" s="115"/>
      <c r="G13" s="115"/>
      <c r="H13" s="115"/>
      <c r="I13" s="115"/>
      <c r="J13" s="115"/>
    </row>
    <row r="14" spans="1:13">
      <c r="A14" s="115"/>
      <c r="B14" s="115"/>
      <c r="C14" s="115"/>
      <c r="D14" s="115"/>
      <c r="E14" s="119"/>
      <c r="F14" s="115"/>
      <c r="G14" s="115"/>
      <c r="H14" s="115"/>
      <c r="I14" s="115"/>
      <c r="J14" s="115"/>
    </row>
    <row r="15" spans="1:13" hidden="1">
      <c r="A15" s="65"/>
      <c r="B15" s="65"/>
      <c r="C15" s="65"/>
      <c r="D15" s="65"/>
      <c r="E15" s="65"/>
      <c r="F15" s="65"/>
      <c r="G15" s="65"/>
      <c r="H15" s="65"/>
      <c r="I15" s="65"/>
      <c r="J15" s="65"/>
    </row>
    <row r="16" spans="1:13" hidden="1">
      <c r="A16" s="65"/>
      <c r="B16" s="65"/>
      <c r="C16" s="65"/>
      <c r="D16" s="65"/>
      <c r="E16" s="65"/>
      <c r="F16" s="65"/>
      <c r="G16" s="65"/>
      <c r="H16" s="65"/>
      <c r="I16" s="65"/>
      <c r="J16" s="65"/>
    </row>
    <row r="17" spans="1:17" hidden="1">
      <c r="A17" s="65"/>
      <c r="B17" s="65"/>
      <c r="C17" s="65"/>
      <c r="D17" s="65"/>
      <c r="E17" s="65"/>
      <c r="F17" s="65"/>
      <c r="G17" s="65"/>
      <c r="H17" s="65"/>
      <c r="I17" s="65"/>
      <c r="J17" s="65"/>
    </row>
    <row r="18" spans="1:17" hidden="1">
      <c r="A18" s="65"/>
      <c r="B18" s="65"/>
      <c r="C18" s="65"/>
      <c r="D18" s="65"/>
      <c r="E18" s="65"/>
      <c r="F18" s="65"/>
      <c r="G18" s="65"/>
      <c r="H18" s="65"/>
      <c r="I18" s="65"/>
      <c r="J18" s="65"/>
    </row>
    <row r="19" spans="1:17" hidden="1">
      <c r="G19" s="65"/>
      <c r="H19" s="65"/>
      <c r="I19" s="65"/>
      <c r="J19" s="65"/>
      <c r="K19" s="65"/>
      <c r="L19" s="65"/>
      <c r="M19" s="65"/>
      <c r="N19" s="65"/>
      <c r="O19" s="65"/>
      <c r="P19" s="65"/>
      <c r="Q19" s="65"/>
    </row>
    <row r="20" spans="1:17" hidden="1">
      <c r="A20" s="65"/>
      <c r="B20" s="65"/>
      <c r="C20" s="65"/>
      <c r="D20" s="65"/>
      <c r="E20" s="65"/>
      <c r="F20" s="65"/>
      <c r="G20" s="65"/>
      <c r="H20" s="65"/>
      <c r="I20" s="65"/>
      <c r="J20" s="65"/>
    </row>
    <row r="21" spans="1:17" hidden="1">
      <c r="A21" s="65"/>
      <c r="B21" s="65"/>
      <c r="C21" s="65"/>
      <c r="D21" s="65"/>
      <c r="E21" s="65"/>
      <c r="F21" s="65"/>
      <c r="G21" s="65"/>
      <c r="H21" s="65"/>
      <c r="I21" s="65"/>
      <c r="J21" s="65"/>
    </row>
    <row r="22" spans="1:17" hidden="1">
      <c r="A22" s="65"/>
      <c r="B22" s="65"/>
      <c r="C22" s="65"/>
      <c r="D22" s="65"/>
      <c r="E22" s="65"/>
      <c r="F22" s="65"/>
      <c r="G22" s="65"/>
      <c r="H22" s="65"/>
      <c r="I22" s="65"/>
      <c r="J22" s="65"/>
    </row>
    <row r="23" spans="1:17" hidden="1">
      <c r="A23" s="65"/>
      <c r="B23" s="65"/>
      <c r="C23" s="65"/>
      <c r="D23" s="65"/>
      <c r="E23" s="65"/>
      <c r="F23" s="65"/>
      <c r="G23" s="65"/>
      <c r="H23" s="65"/>
      <c r="I23" s="65"/>
      <c r="J23" s="65"/>
    </row>
    <row r="24" spans="1:17" hidden="1">
      <c r="A24" s="65"/>
      <c r="B24" s="65"/>
      <c r="C24" s="65"/>
      <c r="D24" s="65"/>
      <c r="E24" s="65"/>
      <c r="F24" s="65"/>
      <c r="G24" s="65"/>
      <c r="H24" s="65"/>
      <c r="I24" s="65"/>
      <c r="J24" s="65"/>
    </row>
    <row r="25" spans="1:17" hidden="1">
      <c r="A25" s="65"/>
      <c r="B25" s="65"/>
      <c r="C25" s="65"/>
      <c r="D25" s="65"/>
      <c r="E25" s="65"/>
      <c r="F25" s="65"/>
      <c r="G25" s="65"/>
      <c r="H25" s="65"/>
      <c r="I25" s="65"/>
      <c r="J25" s="65"/>
    </row>
    <row r="26" spans="1:17" hidden="1">
      <c r="A26" s="65"/>
      <c r="B26" s="65"/>
      <c r="C26" s="65"/>
      <c r="D26" s="65"/>
      <c r="E26" s="65"/>
      <c r="F26" s="65"/>
      <c r="G26" s="65"/>
      <c r="H26" s="65"/>
      <c r="I26" s="65"/>
      <c r="J26" s="65"/>
    </row>
    <row r="27" spans="1:17" hidden="1">
      <c r="A27" s="65"/>
      <c r="B27" s="65"/>
      <c r="C27" s="65"/>
      <c r="H27" s="65"/>
      <c r="I27" s="65"/>
    </row>
    <row r="28" spans="1:17" hidden="1">
      <c r="A28" s="65"/>
      <c r="B28" s="65"/>
      <c r="C28" s="65"/>
      <c r="H28" s="65"/>
    </row>
    <row r="29" spans="1:17" hidden="1">
      <c r="A29" s="65"/>
      <c r="B29" s="65"/>
      <c r="C29" s="65"/>
      <c r="H29" s="65"/>
    </row>
    <row r="30" spans="1:17" hidden="1">
      <c r="A30" s="65"/>
      <c r="B30" s="65"/>
      <c r="C30" s="65"/>
      <c r="H30" s="65"/>
    </row>
    <row r="31" spans="1:17" hidden="1">
      <c r="A31" s="65"/>
      <c r="B31" s="65"/>
      <c r="C31" s="65"/>
      <c r="H31" s="65"/>
    </row>
    <row r="32" spans="1:17" hidden="1">
      <c r="A32" s="65"/>
      <c r="B32" s="65"/>
      <c r="C32" s="65"/>
      <c r="H32" s="65"/>
    </row>
    <row r="33" spans="1:17" hidden="1">
      <c r="A33" s="65"/>
      <c r="B33" s="65"/>
      <c r="C33" s="65"/>
      <c r="H33" s="65"/>
    </row>
    <row r="34" spans="1:17" hidden="1">
      <c r="A34" s="65"/>
      <c r="B34" s="65"/>
      <c r="C34" s="65"/>
      <c r="H34" s="65"/>
    </row>
    <row r="35" spans="1:17" hidden="1">
      <c r="A35" s="65"/>
      <c r="B35" s="65"/>
      <c r="C35" s="65"/>
      <c r="H35" s="65"/>
    </row>
    <row r="36" spans="1:17" hidden="1">
      <c r="A36" s="65"/>
      <c r="B36" s="65"/>
      <c r="C36" s="65"/>
      <c r="D36" s="65"/>
      <c r="E36" s="65"/>
      <c r="F36" s="65"/>
      <c r="G36" s="65"/>
      <c r="H36" s="65"/>
      <c r="I36" s="65"/>
    </row>
    <row r="37" spans="1:17" hidden="1">
      <c r="A37" s="65"/>
      <c r="B37" s="65"/>
      <c r="C37" s="65"/>
      <c r="D37" s="65"/>
      <c r="E37" s="65"/>
      <c r="F37" s="65"/>
    </row>
    <row r="38" spans="1:17" hidden="1">
      <c r="A38" s="65"/>
      <c r="B38" s="65"/>
      <c r="C38" s="65"/>
      <c r="D38" s="65"/>
      <c r="E38" s="65"/>
      <c r="F38" s="65"/>
    </row>
    <row r="39" spans="1:17" hidden="1">
      <c r="A39" s="65"/>
      <c r="B39" s="65"/>
      <c r="C39" s="65"/>
      <c r="D39" s="65"/>
      <c r="E39" s="65"/>
      <c r="F39" s="65"/>
      <c r="G39" s="65"/>
      <c r="H39" s="65"/>
      <c r="I39" s="65"/>
    </row>
    <row r="40" spans="1:17" hidden="1">
      <c r="A40" s="65"/>
      <c r="B40" s="65"/>
      <c r="C40" s="65"/>
      <c r="D40" s="65"/>
      <c r="E40" s="65"/>
      <c r="F40" s="65"/>
      <c r="G40" s="65"/>
      <c r="H40" s="65"/>
      <c r="I40" s="65"/>
    </row>
    <row r="41" spans="1:17" hidden="1">
      <c r="A41" s="65"/>
      <c r="B41" s="65"/>
      <c r="C41" s="65"/>
      <c r="D41" s="65"/>
      <c r="E41" s="65"/>
      <c r="F41" s="65"/>
      <c r="G41" s="65"/>
      <c r="H41" s="65"/>
      <c r="I41" s="65"/>
    </row>
    <row r="42" spans="1:17" hidden="1">
      <c r="G42" s="65"/>
      <c r="H42" s="65"/>
      <c r="I42" s="65"/>
      <c r="J42" s="65"/>
      <c r="K42" s="65"/>
      <c r="L42" s="65"/>
      <c r="M42" s="65"/>
      <c r="N42" s="65"/>
      <c r="O42" s="65"/>
      <c r="P42" s="65"/>
      <c r="Q42" s="65"/>
    </row>
    <row r="43" spans="1:17" hidden="1">
      <c r="A43" s="65"/>
      <c r="B43" s="65"/>
      <c r="C43" s="65"/>
      <c r="D43" s="65"/>
      <c r="E43" s="65"/>
      <c r="F43" s="65"/>
      <c r="G43" s="65"/>
      <c r="H43" s="65"/>
      <c r="I43" s="65"/>
      <c r="J43" s="65"/>
    </row>
    <row r="44" spans="1:17" hidden="1">
      <c r="A44" s="65"/>
      <c r="B44" s="65"/>
      <c r="C44" s="65"/>
      <c r="D44" s="65"/>
      <c r="E44" s="65"/>
      <c r="F44" s="65"/>
      <c r="G44" s="65"/>
      <c r="H44" s="65"/>
      <c r="I44" s="65"/>
      <c r="J44" s="65"/>
    </row>
    <row r="45" spans="1:17" hidden="1">
      <c r="A45" s="65"/>
      <c r="B45" s="65"/>
      <c r="C45" s="65"/>
      <c r="D45" s="65"/>
      <c r="E45" s="65"/>
      <c r="F45" s="65"/>
      <c r="G45" s="65"/>
      <c r="H45" s="65"/>
      <c r="I45" s="65"/>
      <c r="J45" s="65"/>
    </row>
    <row r="46" spans="1:17" hidden="1">
      <c r="A46" s="65"/>
      <c r="B46" s="65"/>
      <c r="C46" s="65"/>
      <c r="D46" s="65"/>
      <c r="E46" s="65"/>
      <c r="F46" s="65"/>
      <c r="G46" s="65"/>
      <c r="H46" s="65"/>
      <c r="I46" s="65"/>
      <c r="J46" s="65"/>
    </row>
    <row r="47" spans="1:17" hidden="1">
      <c r="A47" s="65"/>
      <c r="B47" s="65"/>
      <c r="C47" s="65"/>
      <c r="D47" s="65"/>
      <c r="E47" s="65"/>
      <c r="F47" s="65"/>
      <c r="G47" s="65"/>
      <c r="H47" s="65"/>
      <c r="I47" s="65"/>
      <c r="J47" s="65"/>
    </row>
    <row r="48" spans="1:17" hidden="1">
      <c r="A48" s="65"/>
      <c r="B48" s="65"/>
      <c r="C48" s="65"/>
      <c r="D48" s="65"/>
      <c r="E48" s="65"/>
      <c r="F48" s="65"/>
      <c r="G48" s="65"/>
      <c r="H48" s="65"/>
      <c r="I48" s="65"/>
      <c r="J48" s="65"/>
    </row>
    <row r="49" spans="1:10" hidden="1">
      <c r="A49" s="65"/>
      <c r="B49" s="65"/>
      <c r="C49" s="65"/>
      <c r="D49" s="65"/>
      <c r="E49" s="65"/>
      <c r="F49" s="65"/>
      <c r="G49" s="65"/>
      <c r="H49" s="65"/>
      <c r="I49" s="65"/>
      <c r="J49" s="65"/>
    </row>
    <row r="50" spans="1:10" hidden="1">
      <c r="A50" s="65"/>
      <c r="B50" s="65"/>
      <c r="C50" s="65"/>
      <c r="D50" s="65"/>
      <c r="I50" s="65"/>
      <c r="J50" s="65"/>
    </row>
  </sheetData>
  <sheetProtection sheet="1" objects="1" scenarios="1" selectLockedCells="1"/>
  <mergeCells count="1">
    <mergeCell ref="B4:D4"/>
  </mergeCells>
  <pageMargins left="0.75" right="0.75" top="1" bottom="1" header="0.5" footer="0.5"/>
  <pageSetup paperSize="9" firstPageNumber="0" fitToWidth="0" fitToHeight="0" pageOrder="overThenDown"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C13FB-940F-4413-904C-FC961C62B778}">
  <sheetPr>
    <tabColor theme="1" tint="4.9989318521683403E-2"/>
  </sheetPr>
  <dimension ref="A1:P80"/>
  <sheetViews>
    <sheetView topLeftCell="A4" zoomScale="80" zoomScaleNormal="80" workbookViewId="0">
      <selection activeCell="H33" sqref="H33"/>
    </sheetView>
  </sheetViews>
  <sheetFormatPr defaultColWidth="0" defaultRowHeight="14.1"/>
  <cols>
    <col min="1" max="1" width="3.5703125" style="121" customWidth="1"/>
    <col min="2" max="2" width="57.42578125" style="121" customWidth="1"/>
    <col min="3" max="3" width="20.5703125" style="136" customWidth="1"/>
    <col min="4" max="4" width="20.140625" style="121" bestFit="1" customWidth="1"/>
    <col min="5" max="6" width="8.85546875" style="121" customWidth="1"/>
    <col min="7" max="7" width="12" style="121" bestFit="1" customWidth="1"/>
    <col min="8" max="8" width="13.42578125" style="121" bestFit="1" customWidth="1"/>
    <col min="9" max="9" width="16.5703125" style="121" bestFit="1" customWidth="1"/>
    <col min="10" max="10" width="17" style="121" bestFit="1" customWidth="1"/>
    <col min="11" max="11" width="18.42578125" style="121" bestFit="1" customWidth="1"/>
    <col min="12" max="12" width="18.5703125" style="121" bestFit="1" customWidth="1"/>
    <col min="13" max="13" width="20" style="121" bestFit="1" customWidth="1"/>
    <col min="14" max="15" width="8.85546875" style="121" customWidth="1"/>
    <col min="16" max="16" width="0" style="121" hidden="1" customWidth="1"/>
    <col min="17" max="16384" width="8.85546875" style="121" hidden="1"/>
  </cols>
  <sheetData>
    <row r="1" spans="1:16" ht="14.45" customHeight="1">
      <c r="A1" s="133"/>
      <c r="B1" s="133"/>
      <c r="C1" s="215" t="s">
        <v>82</v>
      </c>
      <c r="D1" s="215"/>
      <c r="E1" s="215"/>
      <c r="F1" s="215"/>
      <c r="G1" s="215"/>
      <c r="H1" s="215"/>
      <c r="I1" s="215"/>
      <c r="J1" s="215"/>
      <c r="K1" s="215"/>
      <c r="L1" s="215"/>
      <c r="M1" s="215"/>
      <c r="N1" s="215"/>
      <c r="O1" s="133"/>
      <c r="P1" s="133"/>
    </row>
    <row r="2" spans="1:16" ht="14.45" customHeight="1">
      <c r="A2" s="133"/>
      <c r="B2" s="133"/>
      <c r="C2" s="215"/>
      <c r="D2" s="215"/>
      <c r="E2" s="215"/>
      <c r="F2" s="215"/>
      <c r="G2" s="215"/>
      <c r="H2" s="215"/>
      <c r="I2" s="215"/>
      <c r="J2" s="215"/>
      <c r="K2" s="215"/>
      <c r="L2" s="215"/>
      <c r="M2" s="215"/>
      <c r="N2" s="215"/>
      <c r="O2" s="133"/>
      <c r="P2" s="133"/>
    </row>
    <row r="3" spans="1:16" ht="14.45" customHeight="1">
      <c r="A3" s="133"/>
      <c r="B3" s="133"/>
      <c r="C3" s="215"/>
      <c r="D3" s="215"/>
      <c r="E3" s="215"/>
      <c r="F3" s="215"/>
      <c r="G3" s="215"/>
      <c r="H3" s="215"/>
      <c r="I3" s="215"/>
      <c r="J3" s="215"/>
      <c r="K3" s="215"/>
      <c r="L3" s="215"/>
      <c r="M3" s="215"/>
      <c r="N3" s="215"/>
      <c r="O3" s="133"/>
      <c r="P3" s="133"/>
    </row>
    <row r="4" spans="1:16" ht="14.45">
      <c r="A4" s="60"/>
      <c r="B4" s="214"/>
      <c r="C4" s="226"/>
      <c r="D4" s="226"/>
      <c r="E4" s="61"/>
      <c r="F4" s="62"/>
      <c r="G4" s="60"/>
      <c r="H4" s="63"/>
      <c r="I4" s="63"/>
      <c r="J4" s="61"/>
      <c r="K4" s="64"/>
      <c r="L4" s="64"/>
      <c r="M4" s="133"/>
      <c r="N4" s="133"/>
      <c r="O4" s="133"/>
      <c r="P4" s="133"/>
    </row>
    <row r="5" spans="1:16" ht="14.45">
      <c r="A5" s="122"/>
      <c r="B5" s="123"/>
      <c r="C5" s="124"/>
      <c r="D5" s="124"/>
      <c r="E5" s="125"/>
      <c r="F5" s="126"/>
      <c r="G5" s="122"/>
      <c r="H5" s="123"/>
      <c r="I5" s="123"/>
      <c r="J5" s="125"/>
      <c r="K5" s="126"/>
      <c r="L5" s="126"/>
      <c r="M5" s="133"/>
      <c r="N5" s="133"/>
      <c r="O5" s="133"/>
      <c r="P5" s="133"/>
    </row>
    <row r="6" spans="1:16" ht="15">
      <c r="A6" s="227"/>
      <c r="B6" s="127" t="s">
        <v>83</v>
      </c>
      <c r="C6" s="128" t="s">
        <v>84</v>
      </c>
      <c r="D6" s="128"/>
      <c r="E6" s="128"/>
      <c r="F6" s="128"/>
      <c r="G6" s="128"/>
      <c r="H6" s="129"/>
      <c r="I6" s="129"/>
      <c r="J6" s="129"/>
      <c r="K6" s="130"/>
      <c r="L6" s="228"/>
      <c r="M6" s="227"/>
      <c r="N6" s="227"/>
      <c r="O6" s="227"/>
      <c r="P6" s="227"/>
    </row>
    <row r="7" spans="1:16" ht="15">
      <c r="A7" s="227"/>
      <c r="B7" s="127"/>
      <c r="C7" s="128"/>
      <c r="D7" s="128"/>
      <c r="E7" s="128"/>
      <c r="F7" s="128"/>
      <c r="G7" s="128"/>
      <c r="H7" s="129"/>
      <c r="I7" s="129"/>
      <c r="J7" s="129"/>
      <c r="K7" s="130"/>
      <c r="L7" s="228"/>
      <c r="M7" s="227"/>
      <c r="N7" s="227"/>
      <c r="O7" s="227"/>
      <c r="P7" s="227"/>
    </row>
    <row r="9" spans="1:16">
      <c r="A9" s="133"/>
      <c r="B9" s="131" t="s">
        <v>85</v>
      </c>
      <c r="C9" s="138">
        <v>680000000</v>
      </c>
      <c r="D9" s="229" t="s">
        <v>86</v>
      </c>
      <c r="E9" s="133"/>
      <c r="F9" s="132" t="s">
        <v>87</v>
      </c>
      <c r="G9" s="132" t="s">
        <v>88</v>
      </c>
      <c r="H9" s="132" t="s">
        <v>89</v>
      </c>
      <c r="I9" s="132" t="s">
        <v>90</v>
      </c>
      <c r="J9" s="132" t="s">
        <v>91</v>
      </c>
      <c r="K9" s="132" t="s">
        <v>92</v>
      </c>
      <c r="L9" s="132" t="s">
        <v>93</v>
      </c>
      <c r="M9" s="132" t="s">
        <v>94</v>
      </c>
      <c r="N9" s="133"/>
      <c r="O9" s="133"/>
      <c r="P9" s="133"/>
    </row>
    <row r="10" spans="1:16">
      <c r="A10" s="133"/>
      <c r="B10" s="131" t="s">
        <v>95</v>
      </c>
      <c r="C10" s="138">
        <v>2000</v>
      </c>
      <c r="D10" s="229" t="s">
        <v>86</v>
      </c>
      <c r="E10" s="133"/>
      <c r="F10" s="230">
        <v>0</v>
      </c>
      <c r="G10" s="231"/>
      <c r="H10" s="231"/>
      <c r="I10" s="231"/>
      <c r="J10" s="231"/>
      <c r="K10" s="232">
        <f>C9-C12*C13</f>
        <v>680000000</v>
      </c>
      <c r="L10" s="232"/>
      <c r="M10" s="232">
        <f>(H10+J10+L10)-(G10+I10+K10)</f>
        <v>-680000000</v>
      </c>
      <c r="N10" s="133"/>
      <c r="O10" s="233"/>
      <c r="P10" s="133"/>
    </row>
    <row r="11" spans="1:16">
      <c r="A11" s="133"/>
      <c r="B11" s="131" t="s">
        <v>96</v>
      </c>
      <c r="C11" s="234">
        <f>C10*(1-C47)</f>
        <v>2000</v>
      </c>
      <c r="D11" s="229" t="s">
        <v>86</v>
      </c>
      <c r="E11" s="133"/>
      <c r="F11" s="230">
        <v>1</v>
      </c>
      <c r="G11" s="232">
        <f t="shared" ref="G11:G25" si="0">$C$29</f>
        <v>0</v>
      </c>
      <c r="H11" s="232">
        <f t="shared" ref="H11:H25" si="1">$C$28</f>
        <v>0</v>
      </c>
      <c r="I11" s="232">
        <f>$C$33*$C$38*$C$13</f>
        <v>125870448</v>
      </c>
      <c r="J11" s="232">
        <f>$C$15*$C$26*$C$13*$H$33+$C$15*$C$27*$C$13*$H$34+$C$15*$C$25*$C$13*$H$35+$C$15*$C$32*$C$13*$H$36</f>
        <v>169266416</v>
      </c>
      <c r="K11" s="232"/>
      <c r="L11" s="232"/>
      <c r="M11" s="232">
        <f>(H11+J11+L11)-(G11+I11+K11)</f>
        <v>43395968</v>
      </c>
      <c r="N11" s="133"/>
      <c r="O11" s="233"/>
      <c r="P11" s="133"/>
    </row>
    <row r="12" spans="1:16">
      <c r="A12" s="133"/>
      <c r="B12" s="131" t="s">
        <v>97</v>
      </c>
      <c r="C12" s="234">
        <v>0</v>
      </c>
      <c r="D12" s="229" t="s">
        <v>86</v>
      </c>
      <c r="E12" s="133"/>
      <c r="F12" s="230">
        <v>2</v>
      </c>
      <c r="G12" s="232">
        <f t="shared" si="0"/>
        <v>0</v>
      </c>
      <c r="H12" s="232">
        <f t="shared" si="1"/>
        <v>0</v>
      </c>
      <c r="I12" s="232">
        <f>$C$33*$C$38*$C$13</f>
        <v>125870448</v>
      </c>
      <c r="J12" s="232">
        <f>$C$15*$C$26*$C$13*$H$33+$C$15*$C$27*$C$13*$H$34+$C$15*$C$25*$C$13*$H$35+$C$15*$C$32*$C$13*$H$36</f>
        <v>169266416</v>
      </c>
      <c r="K12" s="232"/>
      <c r="L12" s="232"/>
      <c r="M12" s="232">
        <f t="shared" ref="M12:M20" si="2">(H12+J12+L12)-(G12+I12+K12)</f>
        <v>43395968</v>
      </c>
      <c r="N12" s="133"/>
      <c r="O12" s="233"/>
      <c r="P12" s="133"/>
    </row>
    <row r="13" spans="1:16">
      <c r="A13" s="133"/>
      <c r="B13" s="131" t="s">
        <v>98</v>
      </c>
      <c r="C13" s="235">
        <f>C9/C11</f>
        <v>340000</v>
      </c>
      <c r="D13" s="229" t="s">
        <v>99</v>
      </c>
      <c r="E13" s="133"/>
      <c r="F13" s="230">
        <v>3</v>
      </c>
      <c r="G13" s="232">
        <f t="shared" si="0"/>
        <v>0</v>
      </c>
      <c r="H13" s="232">
        <f t="shared" si="1"/>
        <v>0</v>
      </c>
      <c r="I13" s="232">
        <f>$C$33*C50*$C$13</f>
        <v>126625670.68800002</v>
      </c>
      <c r="J13" s="232">
        <f>$C$15*C50*$C$13*$H$33+$C$15*C54*$C$13*$H$34+$C$15*$C$25*$C$13*$H$35+$C$15*$C$32*$C$13*$H$36</f>
        <v>169964294.016</v>
      </c>
      <c r="K13" s="232"/>
      <c r="L13" s="232"/>
      <c r="M13" s="232">
        <f t="shared" si="2"/>
        <v>43338623.327999979</v>
      </c>
      <c r="N13" s="133"/>
      <c r="O13" s="233"/>
      <c r="P13" s="133"/>
    </row>
    <row r="14" spans="1:16">
      <c r="A14" s="133"/>
      <c r="B14" s="131" t="s">
        <v>100</v>
      </c>
      <c r="C14" s="138">
        <v>104</v>
      </c>
      <c r="D14" s="229" t="s">
        <v>101</v>
      </c>
      <c r="E14" s="133"/>
      <c r="F14" s="230">
        <v>4</v>
      </c>
      <c r="G14" s="232">
        <f t="shared" si="0"/>
        <v>0</v>
      </c>
      <c r="H14" s="232">
        <f t="shared" si="1"/>
        <v>0</v>
      </c>
      <c r="I14" s="232">
        <f>$C$33*C51*$C$13</f>
        <v>131042177.63536845</v>
      </c>
      <c r="J14" s="232">
        <f>$C$15*C51*$C$13*$H$33+$C$15*C55*$C$13*$H$34+$C$15*$C$25*$C$13*$H$35+$C$15*$C$32*$C$13*$H$36</f>
        <v>174004990.01600003</v>
      </c>
      <c r="K14" s="232"/>
      <c r="L14" s="232"/>
      <c r="M14" s="232">
        <f t="shared" si="2"/>
        <v>42962812.380631581</v>
      </c>
      <c r="N14" s="133"/>
      <c r="O14" s="233"/>
      <c r="P14" s="133"/>
    </row>
    <row r="15" spans="1:16">
      <c r="A15" s="133"/>
      <c r="B15" s="131" t="s">
        <v>102</v>
      </c>
      <c r="C15" s="138">
        <v>4070</v>
      </c>
      <c r="D15" s="229" t="s">
        <v>101</v>
      </c>
      <c r="E15" s="133"/>
      <c r="F15" s="230">
        <v>5</v>
      </c>
      <c r="G15" s="232">
        <f t="shared" si="0"/>
        <v>0</v>
      </c>
      <c r="H15" s="232">
        <f t="shared" si="1"/>
        <v>0</v>
      </c>
      <c r="I15" s="232">
        <f>$C$33*C52*$C$13</f>
        <v>132146304.37221053</v>
      </c>
      <c r="J15" s="232">
        <f>$C$15*C52*$C$13*$H$33+$C$15*C56*$C$13*$H$34+$C$15*$C$25*$C$13*$H$35+$C$15*$C$32*$C$13*$H$36</f>
        <v>174945974.016</v>
      </c>
      <c r="K15" s="232"/>
      <c r="L15" s="232"/>
      <c r="M15" s="232">
        <f t="shared" si="2"/>
        <v>42799669.64378947</v>
      </c>
      <c r="N15" s="133"/>
      <c r="O15" s="233"/>
      <c r="P15" s="133"/>
    </row>
    <row r="16" spans="1:16">
      <c r="A16" s="133"/>
      <c r="B16" s="103" t="s">
        <v>103</v>
      </c>
      <c r="C16" s="139">
        <v>0.95</v>
      </c>
      <c r="D16" s="229" t="s">
        <v>104</v>
      </c>
      <c r="E16" s="133"/>
      <c r="F16" s="230">
        <v>6</v>
      </c>
      <c r="G16" s="232">
        <f t="shared" si="0"/>
        <v>0</v>
      </c>
      <c r="H16" s="232">
        <f t="shared" si="1"/>
        <v>0</v>
      </c>
      <c r="I16" s="232">
        <f t="shared" ref="I16:I25" si="3">$C$33*$C$53*$C$13</f>
        <v>133250431.10905264</v>
      </c>
      <c r="J16" s="232">
        <f t="shared" ref="J16:J25" si="4">$C$15*$C$53*$C$13*$H$33+$C$15*$C$57*$C$13*$H$34+$C$15*$C$25*$C$13*$H$35+$C$15*$C$32*$C$13*$H$36</f>
        <v>175886958.016</v>
      </c>
      <c r="K16" s="232"/>
      <c r="L16" s="232"/>
      <c r="M16" s="232">
        <f t="shared" si="2"/>
        <v>42636526.906947359</v>
      </c>
      <c r="N16" s="133"/>
      <c r="O16" s="233"/>
      <c r="P16" s="133"/>
    </row>
    <row r="17" spans="2:15">
      <c r="B17" s="131" t="s">
        <v>105</v>
      </c>
      <c r="C17" s="139">
        <v>0.85</v>
      </c>
      <c r="D17" s="229" t="s">
        <v>104</v>
      </c>
      <c r="E17" s="133"/>
      <c r="F17" s="230">
        <v>7</v>
      </c>
      <c r="G17" s="232">
        <f t="shared" si="0"/>
        <v>0</v>
      </c>
      <c r="H17" s="232">
        <f t="shared" si="1"/>
        <v>0</v>
      </c>
      <c r="I17" s="232">
        <f t="shared" si="3"/>
        <v>133250431.10905264</v>
      </c>
      <c r="J17" s="232">
        <f t="shared" si="4"/>
        <v>175886958.016</v>
      </c>
      <c r="K17" s="232"/>
      <c r="L17" s="232"/>
      <c r="M17" s="232">
        <f t="shared" si="2"/>
        <v>42636526.906947359</v>
      </c>
      <c r="N17" s="133"/>
      <c r="O17" s="233"/>
    </row>
    <row r="18" spans="2:15">
      <c r="B18" s="103" t="s">
        <v>106</v>
      </c>
      <c r="C18" s="234">
        <f>C15*C17/C16</f>
        <v>3641.5789473684213</v>
      </c>
      <c r="D18" s="236" t="s">
        <v>101</v>
      </c>
      <c r="E18" s="133"/>
      <c r="F18" s="230">
        <v>8</v>
      </c>
      <c r="G18" s="232">
        <f t="shared" si="0"/>
        <v>0</v>
      </c>
      <c r="H18" s="232">
        <f t="shared" si="1"/>
        <v>0</v>
      </c>
      <c r="I18" s="232">
        <f t="shared" si="3"/>
        <v>133250431.10905264</v>
      </c>
      <c r="J18" s="232">
        <f t="shared" si="4"/>
        <v>175886958.016</v>
      </c>
      <c r="K18" s="232"/>
      <c r="L18" s="232"/>
      <c r="M18" s="232">
        <f t="shared" si="2"/>
        <v>42636526.906947359</v>
      </c>
      <c r="N18" s="133"/>
      <c r="O18" s="233"/>
    </row>
    <row r="19" spans="2:15">
      <c r="B19" s="131" t="s">
        <v>107</v>
      </c>
      <c r="C19" s="140">
        <v>0.8</v>
      </c>
      <c r="D19" s="229" t="s">
        <v>104</v>
      </c>
      <c r="E19" s="133"/>
      <c r="F19" s="230">
        <v>9</v>
      </c>
      <c r="G19" s="232">
        <f t="shared" si="0"/>
        <v>0</v>
      </c>
      <c r="H19" s="232">
        <f t="shared" si="1"/>
        <v>0</v>
      </c>
      <c r="I19" s="232">
        <f t="shared" si="3"/>
        <v>133250431.10905264</v>
      </c>
      <c r="J19" s="232">
        <f t="shared" si="4"/>
        <v>175886958.016</v>
      </c>
      <c r="K19" s="232"/>
      <c r="L19" s="232"/>
      <c r="M19" s="232">
        <f t="shared" si="2"/>
        <v>42636526.906947359</v>
      </c>
      <c r="N19" s="133"/>
      <c r="O19" s="233"/>
    </row>
    <row r="20" spans="2:15">
      <c r="B20" s="103" t="s">
        <v>108</v>
      </c>
      <c r="C20" s="140">
        <v>0.3</v>
      </c>
      <c r="D20" s="229" t="s">
        <v>104</v>
      </c>
      <c r="E20" s="133"/>
      <c r="F20" s="230">
        <v>10</v>
      </c>
      <c r="G20" s="232">
        <f t="shared" si="0"/>
        <v>0</v>
      </c>
      <c r="H20" s="232">
        <f t="shared" si="1"/>
        <v>0</v>
      </c>
      <c r="I20" s="232">
        <f t="shared" si="3"/>
        <v>133250431.10905264</v>
      </c>
      <c r="J20" s="232">
        <f t="shared" si="4"/>
        <v>175886958.016</v>
      </c>
      <c r="K20" s="232"/>
      <c r="L20" s="232"/>
      <c r="M20" s="232">
        <f t="shared" si="2"/>
        <v>42636526.906947359</v>
      </c>
      <c r="N20" s="133"/>
      <c r="O20" s="233"/>
    </row>
    <row r="21" spans="2:15">
      <c r="B21" s="103" t="s">
        <v>109</v>
      </c>
      <c r="C21" s="140">
        <v>1</v>
      </c>
      <c r="D21" s="229" t="s">
        <v>104</v>
      </c>
      <c r="E21" s="133"/>
      <c r="F21" s="230">
        <v>11</v>
      </c>
      <c r="G21" s="232">
        <f t="shared" si="0"/>
        <v>0</v>
      </c>
      <c r="H21" s="232">
        <f t="shared" si="1"/>
        <v>0</v>
      </c>
      <c r="I21" s="232">
        <f t="shared" si="3"/>
        <v>133250431.10905264</v>
      </c>
      <c r="J21" s="232">
        <f t="shared" si="4"/>
        <v>175886958.016</v>
      </c>
      <c r="K21" s="232"/>
      <c r="L21" s="232"/>
      <c r="M21" s="232">
        <f>(H21+J21+L21)-(G21+I21+K21)</f>
        <v>42636526.906947359</v>
      </c>
      <c r="N21" s="133"/>
      <c r="O21" s="233"/>
    </row>
    <row r="22" spans="2:15">
      <c r="B22" s="131" t="s">
        <v>110</v>
      </c>
      <c r="C22" s="234">
        <f>C15*C19/C16</f>
        <v>3427.3684210526317</v>
      </c>
      <c r="D22" s="229" t="s">
        <v>101</v>
      </c>
      <c r="E22" s="133"/>
      <c r="F22" s="230">
        <v>12</v>
      </c>
      <c r="G22" s="232">
        <f t="shared" si="0"/>
        <v>0</v>
      </c>
      <c r="H22" s="232">
        <f t="shared" si="1"/>
        <v>0</v>
      </c>
      <c r="I22" s="232">
        <f t="shared" si="3"/>
        <v>133250431.10905264</v>
      </c>
      <c r="J22" s="232">
        <f t="shared" si="4"/>
        <v>175886958.016</v>
      </c>
      <c r="K22" s="232"/>
      <c r="L22" s="232"/>
      <c r="M22" s="232">
        <f>(H22+J22+L22)-(G22+I22+K22)</f>
        <v>42636526.906947359</v>
      </c>
      <c r="N22" s="133"/>
      <c r="O22" s="233"/>
    </row>
    <row r="23" spans="2:15">
      <c r="B23" s="103" t="s">
        <v>111</v>
      </c>
      <c r="C23" s="234">
        <f>C15*C20/C16</f>
        <v>1285.2631578947369</v>
      </c>
      <c r="D23" s="229" t="s">
        <v>101</v>
      </c>
      <c r="E23" s="133"/>
      <c r="F23" s="230">
        <v>13</v>
      </c>
      <c r="G23" s="232">
        <f t="shared" si="0"/>
        <v>0</v>
      </c>
      <c r="H23" s="232">
        <f t="shared" si="1"/>
        <v>0</v>
      </c>
      <c r="I23" s="232">
        <f t="shared" si="3"/>
        <v>133250431.10905264</v>
      </c>
      <c r="J23" s="232">
        <f t="shared" si="4"/>
        <v>175886958.016</v>
      </c>
      <c r="K23" s="232"/>
      <c r="L23" s="232"/>
      <c r="M23" s="232">
        <f>(H23+J23+L23)-(G23+I23+K23)</f>
        <v>42636526.906947359</v>
      </c>
      <c r="N23" s="133"/>
      <c r="O23" s="233"/>
    </row>
    <row r="24" spans="2:15">
      <c r="B24" s="131" t="s">
        <v>112</v>
      </c>
      <c r="C24" s="234">
        <f>C15*C21/C16</f>
        <v>4284.21052631579</v>
      </c>
      <c r="D24" s="229" t="s">
        <v>101</v>
      </c>
      <c r="E24" s="133"/>
      <c r="F24" s="230">
        <v>14</v>
      </c>
      <c r="G24" s="232">
        <f t="shared" si="0"/>
        <v>0</v>
      </c>
      <c r="H24" s="232">
        <f t="shared" si="1"/>
        <v>0</v>
      </c>
      <c r="I24" s="232">
        <f t="shared" si="3"/>
        <v>133250431.10905264</v>
      </c>
      <c r="J24" s="232">
        <f t="shared" si="4"/>
        <v>175886958.016</v>
      </c>
      <c r="K24" s="232"/>
      <c r="L24" s="232"/>
      <c r="M24" s="232">
        <f>(H24+J24+L24)-(G24+I24+K24)</f>
        <v>42636526.906947359</v>
      </c>
      <c r="N24" s="133"/>
      <c r="O24" s="233"/>
    </row>
    <row r="25" spans="2:15">
      <c r="B25" s="103" t="s">
        <v>113</v>
      </c>
      <c r="C25" s="237">
        <f>'Energy prices'!$C$6/1000</f>
        <v>0.24</v>
      </c>
      <c r="D25" s="229" t="s">
        <v>114</v>
      </c>
      <c r="E25" s="133"/>
      <c r="F25" s="230">
        <v>15</v>
      </c>
      <c r="G25" s="232">
        <f t="shared" si="0"/>
        <v>0</v>
      </c>
      <c r="H25" s="232">
        <f t="shared" si="1"/>
        <v>0</v>
      </c>
      <c r="I25" s="232">
        <f t="shared" si="3"/>
        <v>133250431.10905264</v>
      </c>
      <c r="J25" s="232">
        <f t="shared" si="4"/>
        <v>175886958.016</v>
      </c>
      <c r="K25" s="232"/>
      <c r="L25" s="232"/>
      <c r="M25" s="232">
        <f>(H25+J25+L25)-(G25+I25+K25)</f>
        <v>42636526.906947359</v>
      </c>
      <c r="N25" s="133"/>
      <c r="O25" s="233"/>
    </row>
    <row r="26" spans="2:15">
      <c r="B26" s="103" t="s">
        <v>115</v>
      </c>
      <c r="C26" s="237">
        <f>'Energy prices'!C8/1000</f>
        <v>0.114</v>
      </c>
      <c r="D26" s="229" t="s">
        <v>114</v>
      </c>
      <c r="E26" s="133"/>
      <c r="F26" s="134" t="s">
        <v>116</v>
      </c>
      <c r="G26" s="98">
        <f t="shared" ref="G26:M26" si="5">NPV($C$31,G11:G25)+G10</f>
        <v>0</v>
      </c>
      <c r="H26" s="98">
        <f t="shared" si="5"/>
        <v>0</v>
      </c>
      <c r="I26" s="98">
        <f t="shared" si="5"/>
        <v>1567636594.5553212</v>
      </c>
      <c r="J26" s="98">
        <f t="shared" si="5"/>
        <v>2079154999.072134</v>
      </c>
      <c r="K26" s="98">
        <f t="shared" si="5"/>
        <v>680000000</v>
      </c>
      <c r="L26" s="98">
        <f t="shared" si="5"/>
        <v>0</v>
      </c>
      <c r="M26" s="98">
        <f t="shared" si="5"/>
        <v>-168481595.48318762</v>
      </c>
      <c r="N26" s="233"/>
      <c r="O26" s="233"/>
    </row>
    <row r="27" spans="2:15">
      <c r="B27" s="131" t="s">
        <v>117</v>
      </c>
      <c r="C27" s="237">
        <f>'Energy prices'!C7/1000</f>
        <v>0.11</v>
      </c>
      <c r="D27" s="229" t="s">
        <v>114</v>
      </c>
      <c r="E27" s="133"/>
      <c r="F27" s="133"/>
      <c r="G27" s="133"/>
      <c r="H27" s="133"/>
      <c r="I27" s="133"/>
      <c r="J27" s="133"/>
      <c r="K27" s="133"/>
      <c r="L27" s="133"/>
      <c r="M27" s="133"/>
      <c r="N27" s="133"/>
      <c r="O27" s="133"/>
    </row>
    <row r="28" spans="2:15">
      <c r="B28" s="131" t="s">
        <v>118</v>
      </c>
      <c r="C28" s="238">
        <v>0</v>
      </c>
      <c r="D28" s="229" t="s">
        <v>86</v>
      </c>
      <c r="E28" s="133"/>
      <c r="F28" s="133"/>
      <c r="G28" s="133"/>
      <c r="H28" s="133"/>
      <c r="I28" s="133"/>
      <c r="J28" s="133"/>
      <c r="K28" s="133"/>
      <c r="L28" s="133"/>
      <c r="M28" s="133"/>
      <c r="N28" s="133"/>
      <c r="O28" s="133"/>
    </row>
    <row r="29" spans="2:15">
      <c r="B29" s="131" t="s">
        <v>119</v>
      </c>
      <c r="C29" s="238">
        <v>0</v>
      </c>
      <c r="D29" s="229" t="s">
        <v>86</v>
      </c>
      <c r="E29" s="133"/>
      <c r="F29" s="133"/>
      <c r="G29" s="133"/>
      <c r="H29" s="133"/>
      <c r="I29" s="133"/>
      <c r="J29" s="133"/>
      <c r="K29" s="133"/>
      <c r="L29" s="133"/>
      <c r="M29" s="133"/>
      <c r="N29" s="133"/>
      <c r="O29" s="133"/>
    </row>
    <row r="30" spans="2:15">
      <c r="B30" s="131" t="s">
        <v>93</v>
      </c>
      <c r="C30" s="239">
        <v>0.1</v>
      </c>
      <c r="D30" s="229" t="s">
        <v>120</v>
      </c>
      <c r="E30" s="133"/>
      <c r="F30" s="133"/>
      <c r="G30" s="133"/>
      <c r="H30" s="133"/>
      <c r="I30" s="133"/>
      <c r="J30" s="240"/>
      <c r="K30" s="133"/>
      <c r="L30" s="133"/>
      <c r="M30" s="133"/>
      <c r="N30" s="133"/>
      <c r="O30" s="133"/>
    </row>
    <row r="31" spans="2:15">
      <c r="B31" s="131" t="s">
        <v>121</v>
      </c>
      <c r="C31" s="241">
        <v>0.03</v>
      </c>
      <c r="D31" s="229" t="s">
        <v>104</v>
      </c>
      <c r="E31" s="133"/>
      <c r="F31" s="133"/>
      <c r="G31" s="133"/>
      <c r="H31" s="133"/>
      <c r="I31" s="133"/>
      <c r="J31" s="133"/>
      <c r="K31" s="133"/>
      <c r="L31" s="133"/>
      <c r="M31" s="133"/>
      <c r="N31" s="133"/>
      <c r="O31" s="133"/>
    </row>
    <row r="32" spans="2:15" ht="14.45" customHeight="1">
      <c r="B32" s="131" t="s">
        <v>122</v>
      </c>
      <c r="C32" s="99">
        <f>'Energy prices'!C10/1000</f>
        <v>1.7000000000000001E-2</v>
      </c>
      <c r="D32" s="229" t="s">
        <v>114</v>
      </c>
      <c r="E32" s="133"/>
      <c r="F32" s="133"/>
      <c r="G32" s="104" t="s">
        <v>123</v>
      </c>
      <c r="H32" s="242"/>
      <c r="I32" s="133"/>
      <c r="J32" s="133"/>
      <c r="K32" s="133"/>
      <c r="L32" s="133"/>
      <c r="M32" s="133"/>
      <c r="N32" s="133"/>
      <c r="O32" s="133"/>
    </row>
    <row r="33" spans="2:8">
      <c r="B33" s="131" t="s">
        <v>124</v>
      </c>
      <c r="C33" s="243">
        <f>C18*H33+C22*H34+C24*H35+C23*H36</f>
        <v>3247.4315789473685</v>
      </c>
      <c r="D33" s="229" t="s">
        <v>101</v>
      </c>
      <c r="E33" s="133"/>
      <c r="F33" s="133"/>
      <c r="G33" s="244" t="s">
        <v>76</v>
      </c>
      <c r="H33" s="141">
        <v>0.48</v>
      </c>
    </row>
    <row r="34" spans="2:8">
      <c r="B34" s="131" t="s">
        <v>125</v>
      </c>
      <c r="C34" s="239">
        <v>0</v>
      </c>
      <c r="D34" s="229" t="s">
        <v>104</v>
      </c>
      <c r="E34" s="133"/>
      <c r="F34" s="133"/>
      <c r="G34" s="244" t="s">
        <v>126</v>
      </c>
      <c r="H34" s="141">
        <v>0.2</v>
      </c>
    </row>
    <row r="35" spans="2:8">
      <c r="B35" s="131" t="s">
        <v>127</v>
      </c>
      <c r="C35" s="245">
        <f>((C33-C15)/C15)*-1</f>
        <v>0.2021052631578947</v>
      </c>
      <c r="D35" s="229" t="s">
        <v>104</v>
      </c>
      <c r="E35" s="133"/>
      <c r="F35" s="133"/>
      <c r="G35" s="246" t="s">
        <v>128</v>
      </c>
      <c r="H35" s="141">
        <v>0.19</v>
      </c>
    </row>
    <row r="36" spans="2:8">
      <c r="B36" s="131" t="s">
        <v>129</v>
      </c>
      <c r="C36" s="243">
        <f>C14*C34</f>
        <v>0</v>
      </c>
      <c r="D36" s="229" t="s">
        <v>101</v>
      </c>
      <c r="E36" s="133"/>
      <c r="F36" s="133"/>
      <c r="G36" s="246" t="s">
        <v>78</v>
      </c>
      <c r="H36" s="141">
        <v>0</v>
      </c>
    </row>
    <row r="37" spans="2:8">
      <c r="B37" s="131" t="s">
        <v>130</v>
      </c>
      <c r="C37" s="243">
        <f>C15*C35</f>
        <v>822.56842105263149</v>
      </c>
      <c r="D37" s="229" t="s">
        <v>101</v>
      </c>
      <c r="E37" s="133"/>
      <c r="F37" s="133"/>
      <c r="G37" s="246" t="s">
        <v>81</v>
      </c>
      <c r="H37" s="141">
        <v>0.12</v>
      </c>
    </row>
    <row r="38" spans="2:8">
      <c r="B38" s="131" t="s">
        <v>115</v>
      </c>
      <c r="C38" s="243">
        <f>'Energy prices'!C8/1000</f>
        <v>0.114</v>
      </c>
      <c r="D38" s="229" t="s">
        <v>114</v>
      </c>
      <c r="E38" s="133"/>
      <c r="F38" s="133"/>
      <c r="G38" s="246" t="s">
        <v>116</v>
      </c>
      <c r="H38" s="247">
        <f>SUM(H33:H37)</f>
        <v>0.98999999999999988</v>
      </c>
    </row>
    <row r="39" spans="2:8">
      <c r="B39" s="133"/>
      <c r="C39" s="133"/>
      <c r="D39" s="133"/>
      <c r="E39" s="133"/>
      <c r="F39" s="133"/>
      <c r="G39" s="133"/>
      <c r="H39" s="133"/>
    </row>
    <row r="40" spans="2:8">
      <c r="B40" s="133"/>
      <c r="C40" s="133"/>
      <c r="D40" s="133"/>
      <c r="E40" s="133"/>
      <c r="F40" s="133"/>
      <c r="G40" s="133" t="s">
        <v>131</v>
      </c>
      <c r="H40" s="233">
        <f>C15*100/67</f>
        <v>6074.626865671642</v>
      </c>
    </row>
    <row r="41" spans="2:8">
      <c r="B41" s="133"/>
      <c r="C41" s="233"/>
      <c r="D41" s="133"/>
      <c r="E41" s="133"/>
      <c r="F41" s="133"/>
      <c r="G41" s="133" t="s">
        <v>132</v>
      </c>
      <c r="H41" s="233">
        <f>H40/100*2</f>
        <v>121.49253731343283</v>
      </c>
    </row>
    <row r="42" spans="2:8">
      <c r="B42" s="133"/>
      <c r="C42" s="248"/>
      <c r="D42" s="133"/>
      <c r="E42" s="133"/>
      <c r="F42" s="133"/>
      <c r="G42" s="133"/>
      <c r="H42" s="133"/>
    </row>
    <row r="43" spans="2:8">
      <c r="B43" s="135" t="s">
        <v>133</v>
      </c>
      <c r="C43" s="100">
        <f>NPV(C31,M11:M25)+M10</f>
        <v>-168481595.48318762</v>
      </c>
      <c r="D43" s="133"/>
      <c r="E43" s="133"/>
      <c r="F43" s="133"/>
      <c r="G43" s="133"/>
      <c r="H43" s="133"/>
    </row>
    <row r="44" spans="2:8">
      <c r="B44" s="135" t="s">
        <v>134</v>
      </c>
      <c r="C44" s="101">
        <f>IRR(M10:M25)</f>
        <v>-7.0746153784468913E-3</v>
      </c>
      <c r="D44" s="133"/>
      <c r="E44" s="133"/>
      <c r="F44" s="133"/>
      <c r="G44" s="133" t="s">
        <v>113</v>
      </c>
      <c r="H44" s="97">
        <v>0.24004999999999999</v>
      </c>
    </row>
    <row r="45" spans="2:8">
      <c r="B45" s="135" t="s">
        <v>135</v>
      </c>
      <c r="C45" s="102">
        <f>(H26+J26+L26)/(G26+I26+K26)</f>
        <v>0.92504055331216917</v>
      </c>
      <c r="D45" s="133"/>
      <c r="E45" s="133"/>
      <c r="F45" s="133"/>
      <c r="G45" s="133" t="s">
        <v>115</v>
      </c>
      <c r="H45" s="97">
        <v>0.11394999999999998</v>
      </c>
    </row>
    <row r="46" spans="2:8">
      <c r="B46" s="133"/>
      <c r="C46" s="249"/>
      <c r="D46" s="133"/>
      <c r="E46" s="133"/>
      <c r="F46" s="133"/>
      <c r="G46" s="133" t="s">
        <v>117</v>
      </c>
      <c r="H46" s="97">
        <v>0.11</v>
      </c>
    </row>
    <row r="47" spans="2:8">
      <c r="B47" s="131" t="s">
        <v>136</v>
      </c>
      <c r="C47" s="96">
        <v>0</v>
      </c>
      <c r="D47" s="229" t="s">
        <v>104</v>
      </c>
      <c r="E47" s="133"/>
      <c r="F47" s="133"/>
      <c r="G47" s="133" t="s">
        <v>122</v>
      </c>
      <c r="H47" s="97">
        <v>1.7000000000000001E-2</v>
      </c>
    </row>
    <row r="48" spans="2:8">
      <c r="B48" s="133"/>
      <c r="C48" s="133"/>
      <c r="D48" s="133"/>
      <c r="E48" s="133"/>
      <c r="F48" s="133"/>
      <c r="G48" s="133"/>
      <c r="H48" s="133"/>
    </row>
    <row r="49" spans="2:4" hidden="1">
      <c r="B49" s="137" t="s">
        <v>137</v>
      </c>
      <c r="C49" s="133">
        <v>1</v>
      </c>
      <c r="D49" s="133" t="s">
        <v>138</v>
      </c>
    </row>
    <row r="50" spans="2:4" hidden="1">
      <c r="B50" s="133" t="s">
        <v>139</v>
      </c>
      <c r="C50" s="250">
        <f>IF(C49=1,C38*(1+D50),C38)</f>
        <v>0.11468400000000001</v>
      </c>
      <c r="D50" s="251">
        <v>6.0000000000000001E-3</v>
      </c>
    </row>
    <row r="51" spans="2:4" hidden="1">
      <c r="B51" s="133" t="s">
        <v>140</v>
      </c>
      <c r="C51" s="252">
        <f>IF(C49=1,C50+D51,C38)</f>
        <v>0.11868400000000001</v>
      </c>
      <c r="D51" s="251">
        <v>4.0000000000000001E-3</v>
      </c>
    </row>
    <row r="52" spans="2:4" hidden="1">
      <c r="B52" s="133" t="s">
        <v>141</v>
      </c>
      <c r="C52" s="252">
        <f>IF(C49=1,C51+D52,C38)</f>
        <v>0.11968400000000001</v>
      </c>
      <c r="D52" s="251">
        <v>1E-3</v>
      </c>
    </row>
    <row r="53" spans="2:4" hidden="1">
      <c r="B53" s="133" t="s">
        <v>142</v>
      </c>
      <c r="C53" s="252">
        <f>IF(C49=1,C52+D53,C38)</f>
        <v>0.12068400000000001</v>
      </c>
      <c r="D53" s="251">
        <v>1E-3</v>
      </c>
    </row>
    <row r="54" spans="2:4" hidden="1">
      <c r="B54" s="133" t="s">
        <v>143</v>
      </c>
      <c r="C54" s="253">
        <f>IF(C49=1,C27*(1+D54),C27)</f>
        <v>0.11088000000000001</v>
      </c>
      <c r="D54" s="251">
        <v>8.0000000000000002E-3</v>
      </c>
    </row>
    <row r="55" spans="2:4" hidden="1">
      <c r="B55" s="133" t="s">
        <v>144</v>
      </c>
      <c r="C55" s="253">
        <f>IF($C$49=1,C54+D55,C27)</f>
        <v>0.11588000000000001</v>
      </c>
      <c r="D55" s="251">
        <v>5.0000000000000001E-3</v>
      </c>
    </row>
    <row r="56" spans="2:4" hidden="1">
      <c r="B56" s="133" t="s">
        <v>145</v>
      </c>
      <c r="C56" s="253">
        <f>IF($C$49=1,C55+D56,C27)</f>
        <v>0.11688000000000001</v>
      </c>
      <c r="D56" s="251">
        <v>1E-3</v>
      </c>
    </row>
    <row r="57" spans="2:4" hidden="1">
      <c r="B57" s="133" t="s">
        <v>146</v>
      </c>
      <c r="C57" s="253">
        <f>IF($C$49=1,C56+D57,C27)</f>
        <v>0.11788000000000001</v>
      </c>
      <c r="D57" s="251">
        <v>1E-3</v>
      </c>
    </row>
    <row r="58" spans="2:4">
      <c r="B58" s="133"/>
      <c r="C58" s="248"/>
      <c r="D58" s="133"/>
    </row>
    <row r="59" spans="2:4">
      <c r="B59" s="133"/>
      <c r="C59" s="248"/>
      <c r="D59" s="133"/>
    </row>
    <row r="60" spans="2:4">
      <c r="B60" s="133"/>
      <c r="C60" s="248"/>
      <c r="D60" s="133"/>
    </row>
    <row r="61" spans="2:4">
      <c r="B61" s="133"/>
      <c r="C61" s="248"/>
      <c r="D61" s="133"/>
    </row>
    <row r="62" spans="2:4">
      <c r="B62" s="133"/>
      <c r="C62" s="248"/>
      <c r="D62" s="133"/>
    </row>
    <row r="63" spans="2:4">
      <c r="B63" s="133"/>
      <c r="C63" s="248"/>
      <c r="D63" s="133"/>
    </row>
    <row r="67" spans="3:3">
      <c r="C67" s="248"/>
    </row>
    <row r="68" spans="3:3">
      <c r="C68" s="248"/>
    </row>
    <row r="69" spans="3:3">
      <c r="C69" s="248"/>
    </row>
    <row r="70" spans="3:3">
      <c r="C70" s="248"/>
    </row>
    <row r="80" spans="3:3">
      <c r="C80" s="248"/>
    </row>
  </sheetData>
  <sheetProtection algorithmName="SHA-512" hashValue="I5RNUCEntUTAr4/7AcSrwr+cgXhF71paxvFSYLvhnmXDcfAjQC5Aq7ZzB3N8i6MtbIYy7iUD53VbuGzU/G1I9A==" saltValue="2OhlzPp4yOo8/st0ufUXOQ==" spinCount="100000" sheet="1" objects="1" scenarios="1" selectLockedCells="1"/>
  <mergeCells count="2">
    <mergeCell ref="C1:N3"/>
    <mergeCell ref="B4:D4"/>
  </mergeCells>
  <pageMargins left="0.7" right="0.7" top="0.75" bottom="0.75" header="0.3" footer="0.3"/>
  <pageSetup orientation="portrait" horizontalDpi="4294967293" verticalDpi="4294967293"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C5089-6D3F-4946-BD9D-290F964F2F8F}">
  <sheetPr>
    <tabColor theme="1" tint="4.9989318521683403E-2"/>
  </sheetPr>
  <dimension ref="A1:P86"/>
  <sheetViews>
    <sheetView zoomScale="70" zoomScaleNormal="70" workbookViewId="0">
      <selection activeCell="C83" sqref="C83"/>
    </sheetView>
  </sheetViews>
  <sheetFormatPr defaultColWidth="0" defaultRowHeight="14.1"/>
  <cols>
    <col min="1" max="1" width="3.5703125" style="121" customWidth="1"/>
    <col min="2" max="2" width="56.5703125" style="121" customWidth="1"/>
    <col min="3" max="3" width="20.5703125" style="136" customWidth="1"/>
    <col min="4" max="4" width="15.5703125" style="121" bestFit="1" customWidth="1"/>
    <col min="5" max="6" width="8.85546875" style="121" customWidth="1"/>
    <col min="7" max="7" width="12" style="121" bestFit="1" customWidth="1"/>
    <col min="8" max="8" width="13.42578125" style="121" bestFit="1" customWidth="1"/>
    <col min="9" max="9" width="16.5703125" style="121" bestFit="1" customWidth="1"/>
    <col min="10" max="10" width="17" style="121" bestFit="1" customWidth="1"/>
    <col min="11" max="12" width="17.42578125" style="121" bestFit="1" customWidth="1"/>
    <col min="13" max="13" width="18.42578125" style="121" bestFit="1" customWidth="1"/>
    <col min="14" max="14" width="18.5703125" style="121" bestFit="1" customWidth="1"/>
    <col min="15" max="15" width="20" style="121" bestFit="1" customWidth="1"/>
    <col min="16" max="16" width="0" style="121" hidden="1" customWidth="1"/>
    <col min="17" max="16384" width="8.85546875" style="121" hidden="1"/>
  </cols>
  <sheetData>
    <row r="1" spans="1:16" ht="14.1" customHeight="1">
      <c r="A1" s="133"/>
      <c r="B1" s="133"/>
      <c r="C1" s="218" t="s">
        <v>147</v>
      </c>
      <c r="D1" s="218"/>
      <c r="E1" s="218"/>
      <c r="F1" s="218"/>
      <c r="G1" s="218"/>
      <c r="H1" s="218"/>
      <c r="I1" s="218"/>
      <c r="J1" s="218"/>
      <c r="K1" s="218"/>
      <c r="L1" s="218"/>
      <c r="M1" s="218"/>
      <c r="N1" s="218"/>
      <c r="O1" s="133"/>
      <c r="P1" s="133"/>
    </row>
    <row r="2" spans="1:16" ht="14.1" customHeight="1">
      <c r="A2" s="133"/>
      <c r="B2" s="133"/>
      <c r="C2" s="218"/>
      <c r="D2" s="218"/>
      <c r="E2" s="218"/>
      <c r="F2" s="218"/>
      <c r="G2" s="218"/>
      <c r="H2" s="218"/>
      <c r="I2" s="218"/>
      <c r="J2" s="218"/>
      <c r="K2" s="218"/>
      <c r="L2" s="218"/>
      <c r="M2" s="218"/>
      <c r="N2" s="218"/>
      <c r="O2" s="133"/>
      <c r="P2" s="133"/>
    </row>
    <row r="3" spans="1:16" ht="14.1" customHeight="1">
      <c r="A3" s="133"/>
      <c r="B3" s="133"/>
      <c r="C3" s="218"/>
      <c r="D3" s="218"/>
      <c r="E3" s="218"/>
      <c r="F3" s="218"/>
      <c r="G3" s="218"/>
      <c r="H3" s="218"/>
      <c r="I3" s="218"/>
      <c r="J3" s="218"/>
      <c r="K3" s="218"/>
      <c r="L3" s="218"/>
      <c r="M3" s="218"/>
      <c r="N3" s="218"/>
      <c r="O3" s="133"/>
      <c r="P3" s="133"/>
    </row>
    <row r="4" spans="1:16" ht="14.45">
      <c r="A4" s="60"/>
      <c r="B4" s="214"/>
      <c r="C4" s="226"/>
      <c r="D4" s="226"/>
      <c r="E4" s="61"/>
      <c r="F4" s="62"/>
      <c r="G4" s="60"/>
      <c r="H4" s="63"/>
      <c r="I4" s="63"/>
      <c r="J4" s="61"/>
      <c r="K4" s="64"/>
      <c r="L4" s="64"/>
      <c r="M4" s="133"/>
      <c r="N4" s="133"/>
      <c r="O4" s="133"/>
      <c r="P4" s="133"/>
    </row>
    <row r="5" spans="1:16" ht="14.45">
      <c r="A5" s="122"/>
      <c r="B5" s="123"/>
      <c r="C5" s="124"/>
      <c r="D5" s="124"/>
      <c r="E5" s="125"/>
      <c r="F5" s="126"/>
      <c r="G5" s="122"/>
      <c r="H5" s="123"/>
      <c r="I5" s="123"/>
      <c r="J5" s="125"/>
      <c r="K5" s="126"/>
      <c r="L5" s="126"/>
      <c r="M5" s="133"/>
      <c r="N5" s="133"/>
      <c r="O5" s="133"/>
      <c r="P5" s="133"/>
    </row>
    <row r="6" spans="1:16" ht="15">
      <c r="A6" s="227"/>
      <c r="B6" s="127" t="s">
        <v>83</v>
      </c>
      <c r="C6" s="128" t="s">
        <v>84</v>
      </c>
      <c r="D6" s="128"/>
      <c r="E6" s="128"/>
      <c r="F6" s="128"/>
      <c r="G6" s="128"/>
      <c r="H6" s="129"/>
      <c r="I6" s="129"/>
      <c r="J6" s="129"/>
      <c r="K6" s="130"/>
      <c r="L6" s="228"/>
      <c r="M6" s="227"/>
      <c r="N6" s="227"/>
      <c r="O6" s="227"/>
      <c r="P6" s="227"/>
    </row>
    <row r="7" spans="1:16" ht="15">
      <c r="A7" s="227"/>
      <c r="B7" s="127"/>
      <c r="C7" s="128"/>
      <c r="D7" s="128"/>
      <c r="E7" s="128"/>
      <c r="F7" s="128"/>
      <c r="G7" s="128"/>
      <c r="H7" s="129"/>
      <c r="I7" s="129"/>
      <c r="J7" s="129"/>
      <c r="K7" s="130"/>
      <c r="L7" s="228"/>
      <c r="M7" s="227"/>
      <c r="N7" s="227"/>
      <c r="O7" s="227"/>
      <c r="P7" s="227"/>
    </row>
    <row r="9" spans="1:16">
      <c r="A9" s="133"/>
      <c r="B9" s="131" t="s">
        <v>85</v>
      </c>
      <c r="C9" s="254">
        <f>'Sc0-CBA'!C9</f>
        <v>680000000</v>
      </c>
      <c r="D9" s="229" t="s">
        <v>86</v>
      </c>
      <c r="E9" s="133"/>
      <c r="F9" s="132" t="s">
        <v>87</v>
      </c>
      <c r="G9" s="132" t="s">
        <v>88</v>
      </c>
      <c r="H9" s="132" t="s">
        <v>89</v>
      </c>
      <c r="I9" s="132" t="s">
        <v>90</v>
      </c>
      <c r="J9" s="132" t="s">
        <v>91</v>
      </c>
      <c r="K9" s="132" t="s">
        <v>148</v>
      </c>
      <c r="L9" s="132" t="s">
        <v>149</v>
      </c>
      <c r="M9" s="132" t="s">
        <v>92</v>
      </c>
      <c r="N9" s="132" t="s">
        <v>93</v>
      </c>
      <c r="O9" s="132" t="s">
        <v>94</v>
      </c>
      <c r="P9" s="133"/>
    </row>
    <row r="10" spans="1:16">
      <c r="A10" s="133"/>
      <c r="B10" s="131" t="s">
        <v>95</v>
      </c>
      <c r="C10" s="234">
        <f>'Sc0-CBA'!C10</f>
        <v>2000</v>
      </c>
      <c r="D10" s="229" t="s">
        <v>86</v>
      </c>
      <c r="E10" s="133"/>
      <c r="F10" s="230">
        <v>0</v>
      </c>
      <c r="G10" s="231"/>
      <c r="H10" s="231"/>
      <c r="I10" s="231"/>
      <c r="J10" s="231"/>
      <c r="K10" s="231"/>
      <c r="L10" s="232">
        <f>IF(C45=1,C70,0)</f>
        <v>0</v>
      </c>
      <c r="M10" s="255">
        <f>(C9-C11*C12)/(1+C83)</f>
        <v>561983471.07438016</v>
      </c>
      <c r="N10" s="231"/>
      <c r="O10" s="232">
        <f>(H10+J10+L10+N10)-(G10+I10+K10+M10)</f>
        <v>-561983471.07438016</v>
      </c>
      <c r="P10" s="133"/>
    </row>
    <row r="11" spans="1:16">
      <c r="A11" s="133"/>
      <c r="B11" s="131" t="s">
        <v>150</v>
      </c>
      <c r="C11" s="238">
        <v>0</v>
      </c>
      <c r="D11" s="229" t="s">
        <v>86</v>
      </c>
      <c r="E11" s="133"/>
      <c r="F11" s="230">
        <v>1</v>
      </c>
      <c r="G11" s="232">
        <f t="shared" ref="G11:H25" si="0">$C$28</f>
        <v>0</v>
      </c>
      <c r="H11" s="232">
        <f t="shared" si="0"/>
        <v>0</v>
      </c>
      <c r="I11" s="232">
        <f t="shared" ref="I11:I25" si="1">$C$32*$C$33*$C$12</f>
        <v>103787913.2631579</v>
      </c>
      <c r="J11" s="232">
        <f t="shared" ref="J11:J25" si="2">$C$14*$C$25*$C$12*$H$33+$C$14*$C$26*$C$12*$H$34+$C$14*$C$24*$C$12*$H$35+$C$14*$C$31*$C$12*$H$36</f>
        <v>148620120</v>
      </c>
      <c r="K11" s="232">
        <f t="shared" ref="K11:K25" si="3">$C$32*$C$55/1000*$C$12</f>
        <v>35552880.926315792</v>
      </c>
      <c r="L11" s="232">
        <f t="shared" ref="L11:L25" si="4">$C$14*$C$63/1000*$C$12*$H$33+$C$14*$C$52/1000*$C$12*$H$34+$C$14*$C$62/1000*$C$12*$H$35+$C$14*$C$61/1000*$C$12*$H$36+(J11-I11)*$C$81*$C$80</f>
        <v>65893730.134736843</v>
      </c>
      <c r="M11" s="231"/>
      <c r="N11" s="231"/>
      <c r="O11" s="232">
        <f>(H11+J11+L11+N11)-(G11+I11+K11+M11)</f>
        <v>75173055.945263147</v>
      </c>
      <c r="P11" s="133"/>
    </row>
    <row r="12" spans="1:16">
      <c r="A12" s="133"/>
      <c r="B12" s="131" t="s">
        <v>151</v>
      </c>
      <c r="C12" s="235">
        <f>'Sc0-CBA'!C13</f>
        <v>340000</v>
      </c>
      <c r="D12" s="229" t="s">
        <v>152</v>
      </c>
      <c r="E12" s="133"/>
      <c r="F12" s="230">
        <v>2</v>
      </c>
      <c r="G12" s="232">
        <f t="shared" si="0"/>
        <v>0</v>
      </c>
      <c r="H12" s="232">
        <f t="shared" si="0"/>
        <v>0</v>
      </c>
      <c r="I12" s="232">
        <f t="shared" si="1"/>
        <v>103787913.2631579</v>
      </c>
      <c r="J12" s="232">
        <f t="shared" si="2"/>
        <v>148620120</v>
      </c>
      <c r="K12" s="232">
        <f t="shared" si="3"/>
        <v>35552880.926315792</v>
      </c>
      <c r="L12" s="232">
        <f t="shared" si="4"/>
        <v>65893730.134736843</v>
      </c>
      <c r="M12" s="231"/>
      <c r="N12" s="231"/>
      <c r="O12" s="232">
        <f t="shared" ref="O12:O19" si="5">(H12+J12+L12+N12)-(G12+I12+K12+M12)</f>
        <v>75173055.945263147</v>
      </c>
      <c r="P12" s="133"/>
    </row>
    <row r="13" spans="1:16">
      <c r="A13" s="133"/>
      <c r="B13" s="131" t="s">
        <v>100</v>
      </c>
      <c r="C13" s="234">
        <f>'Sc0-CBA'!C14</f>
        <v>104</v>
      </c>
      <c r="D13" s="229" t="s">
        <v>101</v>
      </c>
      <c r="E13" s="133"/>
      <c r="F13" s="230">
        <v>3</v>
      </c>
      <c r="G13" s="232">
        <f t="shared" si="0"/>
        <v>0</v>
      </c>
      <c r="H13" s="232">
        <f t="shared" si="0"/>
        <v>0</v>
      </c>
      <c r="I13" s="232">
        <f t="shared" si="1"/>
        <v>103787913.2631579</v>
      </c>
      <c r="J13" s="232">
        <f t="shared" si="2"/>
        <v>148620120</v>
      </c>
      <c r="K13" s="232">
        <f t="shared" si="3"/>
        <v>35552880.926315792</v>
      </c>
      <c r="L13" s="232">
        <f t="shared" si="4"/>
        <v>65893730.134736843</v>
      </c>
      <c r="M13" s="231"/>
      <c r="N13" s="231"/>
      <c r="O13" s="232">
        <f t="shared" si="5"/>
        <v>75173055.945263147</v>
      </c>
      <c r="P13" s="133"/>
    </row>
    <row r="14" spans="1:16">
      <c r="A14" s="133"/>
      <c r="B14" s="131" t="s">
        <v>102</v>
      </c>
      <c r="C14" s="234">
        <f>'Sc0-CBA'!C15</f>
        <v>4070</v>
      </c>
      <c r="D14" s="229" t="s">
        <v>101</v>
      </c>
      <c r="E14" s="133"/>
      <c r="F14" s="230">
        <v>4</v>
      </c>
      <c r="G14" s="232">
        <f t="shared" si="0"/>
        <v>0</v>
      </c>
      <c r="H14" s="232">
        <f t="shared" si="0"/>
        <v>0</v>
      </c>
      <c r="I14" s="232">
        <f t="shared" si="1"/>
        <v>103787913.2631579</v>
      </c>
      <c r="J14" s="232">
        <f t="shared" si="2"/>
        <v>148620120</v>
      </c>
      <c r="K14" s="232">
        <f t="shared" si="3"/>
        <v>35552880.926315792</v>
      </c>
      <c r="L14" s="232">
        <f t="shared" si="4"/>
        <v>65893730.134736843</v>
      </c>
      <c r="M14" s="231"/>
      <c r="N14" s="231"/>
      <c r="O14" s="232">
        <f t="shared" si="5"/>
        <v>75173055.945263147</v>
      </c>
      <c r="P14" s="133"/>
    </row>
    <row r="15" spans="1:16">
      <c r="A15" s="133"/>
      <c r="B15" s="131" t="s">
        <v>103</v>
      </c>
      <c r="C15" s="241">
        <f>'Sc0-CBA'!C16</f>
        <v>0.95</v>
      </c>
      <c r="D15" s="229" t="s">
        <v>104</v>
      </c>
      <c r="E15" s="133"/>
      <c r="F15" s="230">
        <v>5</v>
      </c>
      <c r="G15" s="232">
        <f t="shared" si="0"/>
        <v>0</v>
      </c>
      <c r="H15" s="232">
        <f t="shared" si="0"/>
        <v>0</v>
      </c>
      <c r="I15" s="232">
        <f t="shared" si="1"/>
        <v>103787913.2631579</v>
      </c>
      <c r="J15" s="232">
        <f t="shared" si="2"/>
        <v>148620120</v>
      </c>
      <c r="K15" s="232">
        <f t="shared" si="3"/>
        <v>35552880.926315792</v>
      </c>
      <c r="L15" s="232">
        <f t="shared" si="4"/>
        <v>65893730.134736843</v>
      </c>
      <c r="M15" s="231"/>
      <c r="N15" s="231"/>
      <c r="O15" s="232">
        <f t="shared" si="5"/>
        <v>75173055.945263147</v>
      </c>
      <c r="P15" s="133"/>
    </row>
    <row r="16" spans="1:16">
      <c r="A16" s="133"/>
      <c r="B16" s="103" t="str">
        <f>'Sc0-CBA'!B17</f>
        <v>Degree of efficiency of existing natural gas boiler</v>
      </c>
      <c r="C16" s="241">
        <f>'Sc0-CBA'!C17</f>
        <v>0.85</v>
      </c>
      <c r="D16" s="229" t="s">
        <v>104</v>
      </c>
      <c r="E16" s="133"/>
      <c r="F16" s="230">
        <v>6</v>
      </c>
      <c r="G16" s="232">
        <f t="shared" si="0"/>
        <v>0</v>
      </c>
      <c r="H16" s="232">
        <f t="shared" si="0"/>
        <v>0</v>
      </c>
      <c r="I16" s="232">
        <f t="shared" si="1"/>
        <v>103787913.2631579</v>
      </c>
      <c r="J16" s="232">
        <f t="shared" si="2"/>
        <v>148620120</v>
      </c>
      <c r="K16" s="232">
        <f t="shared" si="3"/>
        <v>35552880.926315792</v>
      </c>
      <c r="L16" s="232">
        <f t="shared" si="4"/>
        <v>65893730.134736843</v>
      </c>
      <c r="M16" s="231"/>
      <c r="N16" s="231"/>
      <c r="O16" s="232">
        <f t="shared" si="5"/>
        <v>75173055.945263147</v>
      </c>
      <c r="P16" s="133"/>
    </row>
    <row r="17" spans="2:15" ht="16.5" customHeight="1">
      <c r="B17" s="131" t="s">
        <v>106</v>
      </c>
      <c r="C17" s="234">
        <f>C14*C16/C15</f>
        <v>3641.5789473684213</v>
      </c>
      <c r="D17" s="229" t="s">
        <v>101</v>
      </c>
      <c r="E17" s="133"/>
      <c r="F17" s="230">
        <v>7</v>
      </c>
      <c r="G17" s="232">
        <f t="shared" si="0"/>
        <v>0</v>
      </c>
      <c r="H17" s="232">
        <f t="shared" si="0"/>
        <v>0</v>
      </c>
      <c r="I17" s="232">
        <f t="shared" si="1"/>
        <v>103787913.2631579</v>
      </c>
      <c r="J17" s="232">
        <f t="shared" si="2"/>
        <v>148620120</v>
      </c>
      <c r="K17" s="232">
        <f t="shared" si="3"/>
        <v>35552880.926315792</v>
      </c>
      <c r="L17" s="232">
        <f t="shared" si="4"/>
        <v>65893730.134736843</v>
      </c>
      <c r="M17" s="231"/>
      <c r="N17" s="231"/>
      <c r="O17" s="232">
        <f t="shared" si="5"/>
        <v>75173055.945263147</v>
      </c>
    </row>
    <row r="18" spans="2:15">
      <c r="B18" s="103" t="str">
        <f>'Sc0-CBA'!B19</f>
        <v>Degree of efficiency of petroleum boiler</v>
      </c>
      <c r="C18" s="241">
        <f>'Sc0-CBA'!C19</f>
        <v>0.8</v>
      </c>
      <c r="D18" s="229" t="s">
        <v>104</v>
      </c>
      <c r="E18" s="133"/>
      <c r="F18" s="230">
        <v>8</v>
      </c>
      <c r="G18" s="232">
        <f t="shared" si="0"/>
        <v>0</v>
      </c>
      <c r="H18" s="232">
        <f t="shared" si="0"/>
        <v>0</v>
      </c>
      <c r="I18" s="232">
        <f t="shared" si="1"/>
        <v>103787913.2631579</v>
      </c>
      <c r="J18" s="232">
        <f t="shared" si="2"/>
        <v>148620120</v>
      </c>
      <c r="K18" s="232">
        <f t="shared" si="3"/>
        <v>35552880.926315792</v>
      </c>
      <c r="L18" s="232">
        <f t="shared" si="4"/>
        <v>65893730.134736843</v>
      </c>
      <c r="M18" s="231"/>
      <c r="N18" s="231"/>
      <c r="O18" s="232">
        <f t="shared" si="5"/>
        <v>75173055.945263147</v>
      </c>
    </row>
    <row r="19" spans="2:15">
      <c r="B19" s="131" t="s">
        <v>108</v>
      </c>
      <c r="C19" s="241">
        <f>'Sc0-CBA'!C20</f>
        <v>0.3</v>
      </c>
      <c r="D19" s="229" t="s">
        <v>104</v>
      </c>
      <c r="E19" s="133"/>
      <c r="F19" s="230">
        <v>9</v>
      </c>
      <c r="G19" s="232">
        <f t="shared" si="0"/>
        <v>0</v>
      </c>
      <c r="H19" s="232">
        <f t="shared" si="0"/>
        <v>0</v>
      </c>
      <c r="I19" s="232">
        <f t="shared" si="1"/>
        <v>103787913.2631579</v>
      </c>
      <c r="J19" s="232">
        <f t="shared" si="2"/>
        <v>148620120</v>
      </c>
      <c r="K19" s="232">
        <f t="shared" si="3"/>
        <v>35552880.926315792</v>
      </c>
      <c r="L19" s="232">
        <f t="shared" si="4"/>
        <v>65893730.134736843</v>
      </c>
      <c r="M19" s="231"/>
      <c r="N19" s="231"/>
      <c r="O19" s="232">
        <f t="shared" si="5"/>
        <v>75173055.945263147</v>
      </c>
    </row>
    <row r="20" spans="2:15">
      <c r="B20" s="103" t="str">
        <f>'Sc0-CBA'!B21</f>
        <v>Degree of efficiency of electric boiler</v>
      </c>
      <c r="C20" s="241">
        <f>'Sc0-CBA'!C21</f>
        <v>1</v>
      </c>
      <c r="D20" s="229" t="s">
        <v>104</v>
      </c>
      <c r="E20" s="133"/>
      <c r="F20" s="230">
        <v>10</v>
      </c>
      <c r="G20" s="232">
        <f t="shared" si="0"/>
        <v>0</v>
      </c>
      <c r="H20" s="232">
        <f t="shared" si="0"/>
        <v>0</v>
      </c>
      <c r="I20" s="232">
        <f t="shared" si="1"/>
        <v>103787913.2631579</v>
      </c>
      <c r="J20" s="232">
        <f t="shared" si="2"/>
        <v>148620120</v>
      </c>
      <c r="K20" s="232">
        <f t="shared" si="3"/>
        <v>35552880.926315792</v>
      </c>
      <c r="L20" s="232">
        <f t="shared" si="4"/>
        <v>65893730.134736843</v>
      </c>
      <c r="M20" s="231"/>
      <c r="N20" s="231"/>
      <c r="O20" s="232">
        <f>(H20+J20+L20+N20)-(G20+I20+K20+M20)</f>
        <v>75173055.945263147</v>
      </c>
    </row>
    <row r="21" spans="2:15" ht="27.95">
      <c r="B21" s="103" t="str">
        <f>'Sc0-CBA'!B22</f>
        <v>Unitary energy consumption after petroleum to gas changes</v>
      </c>
      <c r="C21" s="234">
        <f>C14*C18/C15</f>
        <v>3427.3684210526317</v>
      </c>
      <c r="D21" s="229" t="s">
        <v>101</v>
      </c>
      <c r="E21" s="133"/>
      <c r="F21" s="230">
        <v>11</v>
      </c>
      <c r="G21" s="232">
        <f t="shared" si="0"/>
        <v>0</v>
      </c>
      <c r="H21" s="232">
        <f t="shared" si="0"/>
        <v>0</v>
      </c>
      <c r="I21" s="232">
        <f t="shared" si="1"/>
        <v>103787913.2631579</v>
      </c>
      <c r="J21" s="232">
        <f t="shared" si="2"/>
        <v>148620120</v>
      </c>
      <c r="K21" s="232">
        <f t="shared" si="3"/>
        <v>35552880.926315792</v>
      </c>
      <c r="L21" s="232">
        <f t="shared" si="4"/>
        <v>65893730.134736843</v>
      </c>
      <c r="M21" s="231"/>
      <c r="N21" s="231"/>
      <c r="O21" s="232">
        <f>(H21+J21+L21+N21)-(G21+I21+K21+M21)</f>
        <v>75173055.945263147</v>
      </c>
    </row>
    <row r="22" spans="2:15">
      <c r="B22" s="131" t="s">
        <v>111</v>
      </c>
      <c r="C22" s="234">
        <f>C14*C19/C15</f>
        <v>1285.2631578947369</v>
      </c>
      <c r="D22" s="229" t="s">
        <v>101</v>
      </c>
      <c r="E22" s="133"/>
      <c r="F22" s="230">
        <v>12</v>
      </c>
      <c r="G22" s="232">
        <f t="shared" si="0"/>
        <v>0</v>
      </c>
      <c r="H22" s="232">
        <f t="shared" si="0"/>
        <v>0</v>
      </c>
      <c r="I22" s="232">
        <f t="shared" si="1"/>
        <v>103787913.2631579</v>
      </c>
      <c r="J22" s="232">
        <f t="shared" si="2"/>
        <v>148620120</v>
      </c>
      <c r="K22" s="232">
        <f t="shared" si="3"/>
        <v>35552880.926315792</v>
      </c>
      <c r="L22" s="232">
        <f t="shared" si="4"/>
        <v>65893730.134736843</v>
      </c>
      <c r="M22" s="231"/>
      <c r="N22" s="231"/>
      <c r="O22" s="232">
        <f>(H22+J22+L22+N22)-(G22+I22+K22+M22)</f>
        <v>75173055.945263147</v>
      </c>
    </row>
    <row r="23" spans="2:15" ht="27.95">
      <c r="B23" s="103" t="str">
        <f>'Sc0-CBA'!B24</f>
        <v>Unitary energy consumption after electricity to gas changes</v>
      </c>
      <c r="C23" s="234">
        <f>'Sc0-CBA'!C24</f>
        <v>4284.21052631579</v>
      </c>
      <c r="D23" s="229"/>
      <c r="E23" s="133"/>
      <c r="F23" s="230">
        <v>13</v>
      </c>
      <c r="G23" s="232">
        <f t="shared" si="0"/>
        <v>0</v>
      </c>
      <c r="H23" s="232">
        <f t="shared" si="0"/>
        <v>0</v>
      </c>
      <c r="I23" s="232">
        <f t="shared" si="1"/>
        <v>103787913.2631579</v>
      </c>
      <c r="J23" s="232">
        <f t="shared" si="2"/>
        <v>148620120</v>
      </c>
      <c r="K23" s="232">
        <f t="shared" si="3"/>
        <v>35552880.926315792</v>
      </c>
      <c r="L23" s="232">
        <f t="shared" si="4"/>
        <v>65893730.134736843</v>
      </c>
      <c r="M23" s="231"/>
      <c r="N23" s="231"/>
      <c r="O23" s="232">
        <f>(H23+J23+L23+N23)-(G23+I23+K23+M23)</f>
        <v>75173055.945263147</v>
      </c>
    </row>
    <row r="24" spans="2:15">
      <c r="B24" s="131" t="s">
        <v>113</v>
      </c>
      <c r="C24" s="237">
        <f>'Energy prices'!$D$6/1000</f>
        <v>0.21199999999999999</v>
      </c>
      <c r="D24" s="229" t="s">
        <v>114</v>
      </c>
      <c r="E24" s="133"/>
      <c r="F24" s="230">
        <v>14</v>
      </c>
      <c r="G24" s="232">
        <f t="shared" si="0"/>
        <v>0</v>
      </c>
      <c r="H24" s="232">
        <f t="shared" si="0"/>
        <v>0</v>
      </c>
      <c r="I24" s="232">
        <f t="shared" si="1"/>
        <v>103787913.2631579</v>
      </c>
      <c r="J24" s="232">
        <f t="shared" si="2"/>
        <v>148620120</v>
      </c>
      <c r="K24" s="232">
        <f t="shared" si="3"/>
        <v>35552880.926315792</v>
      </c>
      <c r="L24" s="232">
        <f t="shared" si="4"/>
        <v>65893730.134736843</v>
      </c>
      <c r="M24" s="231"/>
      <c r="N24" s="231"/>
      <c r="O24" s="232">
        <f>(H24+J24+L24+N24)-(G24+I24+K24+M24)</f>
        <v>75173055.945263147</v>
      </c>
    </row>
    <row r="25" spans="2:15">
      <c r="B25" s="103" t="str">
        <f>'Sc0-CBA'!B26</f>
        <v>Natural gas price</v>
      </c>
      <c r="C25" s="237">
        <f>'Energy prices'!D8/1000</f>
        <v>9.4E-2</v>
      </c>
      <c r="D25" s="229" t="s">
        <v>114</v>
      </c>
      <c r="E25" s="133"/>
      <c r="F25" s="230">
        <v>15</v>
      </c>
      <c r="G25" s="232">
        <f t="shared" si="0"/>
        <v>0</v>
      </c>
      <c r="H25" s="232">
        <f t="shared" si="0"/>
        <v>0</v>
      </c>
      <c r="I25" s="232">
        <f t="shared" si="1"/>
        <v>103787913.2631579</v>
      </c>
      <c r="J25" s="232">
        <f t="shared" si="2"/>
        <v>148620120</v>
      </c>
      <c r="K25" s="232">
        <f t="shared" si="3"/>
        <v>35552880.926315792</v>
      </c>
      <c r="L25" s="232">
        <f t="shared" si="4"/>
        <v>65893730.134736843</v>
      </c>
      <c r="M25" s="231"/>
      <c r="N25" s="231"/>
      <c r="O25" s="232">
        <f t="shared" ref="O25" si="6">(H25+J25+L25+N25)-(G25+I25+K25+M25)</f>
        <v>75173055.945263147</v>
      </c>
    </row>
    <row r="26" spans="2:15">
      <c r="B26" s="103" t="str">
        <f>'Sc0-CBA'!B27</f>
        <v>Petroleum price</v>
      </c>
      <c r="C26" s="256">
        <f>'Energy prices'!C7/1000</f>
        <v>0.11</v>
      </c>
      <c r="D26" s="229" t="s">
        <v>114</v>
      </c>
      <c r="E26" s="133"/>
      <c r="F26" s="134" t="s">
        <v>116</v>
      </c>
      <c r="G26" s="98">
        <f t="shared" ref="G26:O26" si="7">NPV($C$30,G11:G25)+G10</f>
        <v>0</v>
      </c>
      <c r="H26" s="98">
        <f t="shared" si="7"/>
        <v>0</v>
      </c>
      <c r="I26" s="98">
        <f t="shared" si="7"/>
        <v>1239013371.3275251</v>
      </c>
      <c r="J26" s="98">
        <f t="shared" si="7"/>
        <v>1774217345.1488714</v>
      </c>
      <c r="K26" s="98">
        <f t="shared" si="7"/>
        <v>424427984.64623737</v>
      </c>
      <c r="L26" s="98">
        <f t="shared" si="7"/>
        <v>786635072.97402918</v>
      </c>
      <c r="M26" s="98">
        <f t="shared" si="7"/>
        <v>561983471.07438016</v>
      </c>
      <c r="N26" s="98">
        <f t="shared" si="7"/>
        <v>0</v>
      </c>
      <c r="O26" s="98">
        <f t="shared" si="7"/>
        <v>335427591.07475793</v>
      </c>
    </row>
    <row r="27" spans="2:15">
      <c r="B27" s="131" t="s">
        <v>118</v>
      </c>
      <c r="C27" s="238">
        <v>0</v>
      </c>
      <c r="D27" s="229" t="s">
        <v>86</v>
      </c>
      <c r="E27" s="133"/>
      <c r="F27" s="133"/>
      <c r="G27" s="133"/>
      <c r="H27" s="133"/>
      <c r="I27" s="133"/>
      <c r="J27" s="133"/>
      <c r="K27" s="133"/>
      <c r="L27" s="133"/>
      <c r="M27" s="133"/>
      <c r="N27" s="133"/>
      <c r="O27" s="133"/>
    </row>
    <row r="28" spans="2:15">
      <c r="B28" s="131" t="s">
        <v>119</v>
      </c>
      <c r="C28" s="238">
        <v>0</v>
      </c>
      <c r="D28" s="229" t="s">
        <v>86</v>
      </c>
      <c r="E28" s="133"/>
      <c r="F28" s="133"/>
      <c r="G28" s="133"/>
      <c r="H28" s="133"/>
      <c r="I28" s="133"/>
      <c r="J28" s="133"/>
      <c r="K28" s="133"/>
      <c r="L28" s="133"/>
      <c r="M28" s="133"/>
      <c r="N28" s="133"/>
      <c r="O28" s="133"/>
    </row>
    <row r="29" spans="2:15">
      <c r="B29" s="131" t="s">
        <v>93</v>
      </c>
      <c r="C29" s="239">
        <v>0.1</v>
      </c>
      <c r="D29" s="229" t="s">
        <v>153</v>
      </c>
      <c r="E29" s="133"/>
      <c r="F29" s="133"/>
      <c r="G29" s="133"/>
      <c r="H29" s="133"/>
      <c r="I29" s="133"/>
      <c r="J29" s="133"/>
      <c r="K29" s="133"/>
      <c r="L29" s="133"/>
      <c r="M29" s="133"/>
      <c r="N29" s="133"/>
      <c r="O29" s="133"/>
    </row>
    <row r="30" spans="2:15">
      <c r="B30" s="131" t="s">
        <v>121</v>
      </c>
      <c r="C30" s="239">
        <v>0.03</v>
      </c>
      <c r="D30" s="229" t="s">
        <v>104</v>
      </c>
      <c r="E30" s="133"/>
      <c r="F30" s="133"/>
      <c r="G30" s="133"/>
      <c r="H30" s="133"/>
      <c r="I30" s="133"/>
      <c r="J30" s="133"/>
      <c r="K30" s="133"/>
      <c r="L30" s="133"/>
      <c r="M30" s="133"/>
      <c r="N30" s="133"/>
      <c r="O30" s="133"/>
    </row>
    <row r="31" spans="2:15">
      <c r="B31" s="142" t="s">
        <v>122</v>
      </c>
      <c r="C31" s="243">
        <f>'Energy prices'!C10/1000</f>
        <v>1.7000000000000001E-2</v>
      </c>
      <c r="D31" s="257" t="s">
        <v>114</v>
      </c>
      <c r="E31" s="133"/>
      <c r="F31" s="133"/>
      <c r="G31" s="133"/>
      <c r="H31" s="133"/>
      <c r="I31" s="133"/>
      <c r="J31" s="133"/>
      <c r="K31" s="133"/>
      <c r="L31" s="133"/>
      <c r="M31" s="133"/>
      <c r="N31" s="133"/>
      <c r="O31" s="133"/>
    </row>
    <row r="32" spans="2:15">
      <c r="B32" s="143" t="s">
        <v>124</v>
      </c>
      <c r="C32" s="243">
        <f>C17*H33+C21*H34+C23*H35+C22*H36</f>
        <v>3247.4315789473685</v>
      </c>
      <c r="D32" s="257" t="s">
        <v>101</v>
      </c>
      <c r="E32" s="133"/>
      <c r="F32" s="133"/>
      <c r="G32" s="104" t="str">
        <f>'Sc0-CBA'!G32</f>
        <v>Fuel share per households in the region</v>
      </c>
      <c r="H32" s="242"/>
      <c r="I32" s="133"/>
      <c r="J32" s="133"/>
      <c r="K32" s="133"/>
      <c r="L32" s="133"/>
      <c r="M32" s="133"/>
      <c r="N32" s="133"/>
      <c r="O32" s="133"/>
    </row>
    <row r="33" spans="2:8">
      <c r="B33" s="142" t="s">
        <v>115</v>
      </c>
      <c r="C33" s="243">
        <f>'Energy prices'!D8/1000</f>
        <v>9.4E-2</v>
      </c>
      <c r="D33" s="257" t="s">
        <v>114</v>
      </c>
      <c r="E33" s="133"/>
      <c r="F33" s="133"/>
      <c r="G33" s="244" t="str">
        <f>'Sc0-CBA'!G33</f>
        <v>Natural gas</v>
      </c>
      <c r="H33" s="247">
        <f>'Sc0-CBA'!H33</f>
        <v>0.48</v>
      </c>
    </row>
    <row r="34" spans="2:8">
      <c r="B34" s="143" t="s">
        <v>125</v>
      </c>
      <c r="C34" s="239">
        <v>0</v>
      </c>
      <c r="D34" s="257" t="s">
        <v>104</v>
      </c>
      <c r="E34" s="133"/>
      <c r="F34" s="133"/>
      <c r="G34" s="244" t="str">
        <f>'Sc0-CBA'!G34</f>
        <v>Petroleum derivatives</v>
      </c>
      <c r="H34" s="247">
        <f>'Sc0-CBA'!H34</f>
        <v>0.2</v>
      </c>
    </row>
    <row r="35" spans="2:8">
      <c r="B35" s="143" t="s">
        <v>127</v>
      </c>
      <c r="C35" s="241">
        <f>((C32-C14)/C14)*-1</f>
        <v>0.2021052631578947</v>
      </c>
      <c r="D35" s="257" t="s">
        <v>104</v>
      </c>
      <c r="E35" s="133"/>
      <c r="F35" s="133"/>
      <c r="G35" s="246" t="s">
        <v>128</v>
      </c>
      <c r="H35" s="247">
        <f>'Sc0-CBA'!H35</f>
        <v>0.19</v>
      </c>
    </row>
    <row r="36" spans="2:8">
      <c r="B36" s="143" t="s">
        <v>154</v>
      </c>
      <c r="C36" s="243">
        <f>C13*C34</f>
        <v>0</v>
      </c>
      <c r="D36" s="257" t="s">
        <v>101</v>
      </c>
      <c r="E36" s="133"/>
      <c r="F36" s="133"/>
      <c r="G36" s="246" t="s">
        <v>78</v>
      </c>
      <c r="H36" s="247">
        <f>'Sc0-CBA'!H36</f>
        <v>0</v>
      </c>
    </row>
    <row r="37" spans="2:8">
      <c r="B37" s="143" t="s">
        <v>155</v>
      </c>
      <c r="C37" s="243">
        <f>C14*C35</f>
        <v>822.56842105263149</v>
      </c>
      <c r="D37" s="257" t="s">
        <v>101</v>
      </c>
      <c r="E37" s="133"/>
      <c r="F37" s="133"/>
      <c r="G37" s="246" t="s">
        <v>81</v>
      </c>
      <c r="H37" s="247">
        <f>'Sc0-CBA'!H37</f>
        <v>0.12</v>
      </c>
    </row>
    <row r="38" spans="2:8">
      <c r="B38" s="133"/>
      <c r="C38" s="133"/>
      <c r="D38" s="133"/>
      <c r="E38" s="133"/>
      <c r="F38" s="133"/>
      <c r="G38" s="246" t="s">
        <v>116</v>
      </c>
      <c r="H38" s="247">
        <f>SUM(H33:H37)</f>
        <v>0.98999999999999988</v>
      </c>
    </row>
    <row r="41" spans="2:8">
      <c r="B41" s="135" t="s">
        <v>133</v>
      </c>
      <c r="C41" s="100">
        <f>NPV(C30,O11:O25)+O10</f>
        <v>335427591.07475793</v>
      </c>
      <c r="D41" s="133"/>
      <c r="E41" s="133"/>
      <c r="F41" s="133"/>
      <c r="G41" s="133"/>
      <c r="H41" s="133"/>
    </row>
    <row r="42" spans="2:8">
      <c r="B42" s="135" t="s">
        <v>134</v>
      </c>
      <c r="C42" s="101">
        <f>IRR(O10:O25)</f>
        <v>0.10304066548167623</v>
      </c>
      <c r="D42" s="133"/>
      <c r="E42" s="133"/>
      <c r="F42" s="133"/>
      <c r="G42" s="133"/>
      <c r="H42" s="133"/>
    </row>
    <row r="43" spans="2:8">
      <c r="B43" s="135" t="s">
        <v>135</v>
      </c>
      <c r="C43" s="102">
        <f>(H26+L26+J26+N26)/(G26+I26+K26+M26)</f>
        <v>1.1507251950269997</v>
      </c>
      <c r="D43" s="133"/>
      <c r="E43" s="133"/>
      <c r="F43" s="133"/>
      <c r="G43" s="133"/>
      <c r="H43" s="133"/>
    </row>
    <row r="45" spans="2:8" hidden="1">
      <c r="B45" s="131" t="s">
        <v>156</v>
      </c>
      <c r="C45" s="238">
        <v>2</v>
      </c>
      <c r="D45" s="229" t="s">
        <v>157</v>
      </c>
      <c r="E45" s="133"/>
      <c r="F45" s="133"/>
      <c r="G45" s="133"/>
      <c r="H45" s="133"/>
    </row>
    <row r="46" spans="2:8" hidden="1">
      <c r="B46" s="131" t="s">
        <v>158</v>
      </c>
      <c r="C46" s="258">
        <v>2</v>
      </c>
      <c r="D46" s="229" t="s">
        <v>159</v>
      </c>
      <c r="E46" s="133"/>
      <c r="F46" s="133"/>
      <c r="G46" s="133"/>
      <c r="H46" s="133"/>
    </row>
    <row r="47" spans="2:8" hidden="1">
      <c r="B47" s="131" t="s">
        <v>160</v>
      </c>
      <c r="C47" s="144">
        <v>1</v>
      </c>
      <c r="D47" s="259" t="s">
        <v>161</v>
      </c>
      <c r="E47" s="133"/>
      <c r="F47" s="133"/>
      <c r="G47" s="133"/>
      <c r="H47" s="133"/>
    </row>
    <row r="48" spans="2:8" hidden="1">
      <c r="B48" s="133"/>
      <c r="C48" s="249"/>
      <c r="D48" s="133"/>
      <c r="E48" s="133"/>
      <c r="F48" s="133"/>
      <c r="G48" s="133"/>
      <c r="H48" s="133"/>
    </row>
    <row r="49" spans="2:3" hidden="1">
      <c r="B49" s="145" t="s">
        <v>162</v>
      </c>
      <c r="C49" s="249"/>
    </row>
    <row r="50" spans="2:3" hidden="1">
      <c r="B50" s="216" t="s">
        <v>163</v>
      </c>
      <c r="C50" s="146" t="s">
        <v>164</v>
      </c>
    </row>
    <row r="51" spans="2:3" hidden="1">
      <c r="B51" s="217"/>
      <c r="C51" s="146" t="s">
        <v>165</v>
      </c>
    </row>
    <row r="52" spans="2:3" hidden="1">
      <c r="B52" s="147" t="s">
        <v>166</v>
      </c>
      <c r="C52" s="260">
        <f>externalities!D25</f>
        <v>51</v>
      </c>
    </row>
    <row r="53" spans="2:3" hidden="1">
      <c r="B53" s="147" t="s">
        <v>167</v>
      </c>
      <c r="C53" s="260">
        <f>externalities!D27</f>
        <v>43.4</v>
      </c>
    </row>
    <row r="54" spans="2:3" hidden="1">
      <c r="B54" s="147" t="s">
        <v>168</v>
      </c>
      <c r="C54" s="260">
        <f>externalities!D22</f>
        <v>36</v>
      </c>
    </row>
    <row r="55" spans="2:3" hidden="1">
      <c r="B55" s="147" t="s">
        <v>169</v>
      </c>
      <c r="C55" s="260">
        <f>externalities!D24</f>
        <v>32.200000000000003</v>
      </c>
    </row>
    <row r="56" spans="2:3" hidden="1">
      <c r="B56" s="147" t="s">
        <v>170</v>
      </c>
      <c r="C56" s="260">
        <f>externalities!D17</f>
        <v>36</v>
      </c>
    </row>
    <row r="57" spans="2:3" hidden="1">
      <c r="B57" s="147" t="s">
        <v>171</v>
      </c>
      <c r="C57" s="260">
        <f>externalities!D16</f>
        <v>21.8</v>
      </c>
    </row>
    <row r="58" spans="2:3" hidden="1">
      <c r="B58" s="147" t="s">
        <v>172</v>
      </c>
      <c r="C58" s="260">
        <f>externalities!D19</f>
        <v>48.5</v>
      </c>
    </row>
    <row r="59" spans="2:3" hidden="1">
      <c r="B59" s="147" t="s">
        <v>173</v>
      </c>
      <c r="C59" s="260">
        <f>externalities!D35</f>
        <v>24</v>
      </c>
    </row>
    <row r="60" spans="2:3" hidden="1">
      <c r="B60" s="147" t="s">
        <v>174</v>
      </c>
      <c r="C60" s="260">
        <f>externalities!D31</f>
        <v>9.6</v>
      </c>
    </row>
    <row r="61" spans="2:3" hidden="1">
      <c r="B61" s="147" t="s">
        <v>78</v>
      </c>
      <c r="C61" s="260">
        <f>externalities!D34</f>
        <v>174</v>
      </c>
    </row>
    <row r="62" spans="2:3" hidden="1">
      <c r="B62" s="147" t="s">
        <v>175</v>
      </c>
      <c r="C62" s="260">
        <f>externalities!D18</f>
        <v>47</v>
      </c>
    </row>
    <row r="63" spans="2:3" hidden="1">
      <c r="B63" s="147" t="s">
        <v>176</v>
      </c>
      <c r="C63" s="260">
        <f>externalities!D36</f>
        <v>58</v>
      </c>
    </row>
    <row r="64" spans="2:3" hidden="1">
      <c r="B64" s="133"/>
      <c r="C64" s="249"/>
    </row>
    <row r="65" spans="2:4" hidden="1">
      <c r="B65" s="145" t="s">
        <v>177</v>
      </c>
      <c r="C65" s="249"/>
      <c r="D65" s="133"/>
    </row>
    <row r="66" spans="2:4" hidden="1">
      <c r="B66" s="146" t="s">
        <v>178</v>
      </c>
      <c r="C66" s="261">
        <v>0.03</v>
      </c>
      <c r="D66" s="262"/>
    </row>
    <row r="67" spans="2:4" hidden="1">
      <c r="B67" s="146" t="s">
        <v>179</v>
      </c>
      <c r="C67" s="234">
        <f>C68+C69</f>
        <v>44832206.736842096</v>
      </c>
      <c r="D67" s="262" t="s">
        <v>86</v>
      </c>
    </row>
    <row r="68" spans="2:4" hidden="1">
      <c r="B68" s="148" t="s">
        <v>180</v>
      </c>
      <c r="C68" s="234">
        <f>J11-I11</f>
        <v>44832206.736842096</v>
      </c>
      <c r="D68" s="262" t="s">
        <v>86</v>
      </c>
    </row>
    <row r="69" spans="2:4" hidden="1">
      <c r="B69" s="148" t="s">
        <v>181</v>
      </c>
      <c r="C69" s="234">
        <f>H11-G11</f>
        <v>0</v>
      </c>
      <c r="D69" s="262" t="s">
        <v>86</v>
      </c>
    </row>
    <row r="70" spans="2:4" hidden="1">
      <c r="B70" s="131" t="s">
        <v>182</v>
      </c>
      <c r="C70" s="234">
        <f>IF(externalities!$C$12=1,C67/C66,0)</f>
        <v>1494406891.22807</v>
      </c>
      <c r="D70" s="262" t="s">
        <v>86</v>
      </c>
    </row>
    <row r="71" spans="2:4" hidden="1">
      <c r="B71" s="133"/>
      <c r="C71" s="249"/>
      <c r="D71" s="133"/>
    </row>
    <row r="72" spans="2:4" hidden="1">
      <c r="B72" s="145" t="s">
        <v>183</v>
      </c>
      <c r="C72" s="249"/>
      <c r="D72" s="133"/>
    </row>
    <row r="73" spans="2:4" hidden="1">
      <c r="B73" s="149" t="s">
        <v>183</v>
      </c>
      <c r="C73" s="146" t="s">
        <v>164</v>
      </c>
      <c r="D73" s="150"/>
    </row>
    <row r="74" spans="2:4" hidden="1">
      <c r="B74" s="147" t="s">
        <v>184</v>
      </c>
      <c r="C74" s="151">
        <v>5</v>
      </c>
      <c r="D74" s="133"/>
    </row>
    <row r="75" spans="2:4" hidden="1">
      <c r="B75" s="147" t="s">
        <v>185</v>
      </c>
      <c r="C75" s="151">
        <v>4</v>
      </c>
      <c r="D75" s="133"/>
    </row>
    <row r="76" spans="2:4" hidden="1">
      <c r="B76" s="147" t="s">
        <v>186</v>
      </c>
      <c r="C76" s="151">
        <v>3</v>
      </c>
      <c r="D76" s="133"/>
    </row>
    <row r="77" spans="2:4" hidden="1">
      <c r="B77" s="147" t="s">
        <v>187</v>
      </c>
      <c r="C77" s="151">
        <v>2</v>
      </c>
      <c r="D77" s="133"/>
    </row>
    <row r="78" spans="2:4" hidden="1">
      <c r="B78" s="147" t="s">
        <v>188</v>
      </c>
      <c r="C78" s="151">
        <v>1</v>
      </c>
      <c r="D78" s="133"/>
    </row>
    <row r="79" spans="2:4" hidden="1">
      <c r="B79" s="133"/>
      <c r="C79" s="249"/>
      <c r="D79" s="133"/>
    </row>
    <row r="80" spans="2:4" hidden="1">
      <c r="B80" s="151" t="s">
        <v>189</v>
      </c>
      <c r="C80" s="263">
        <f>(IF(C47=1,0.2,IF(C47=2,0.4,IF(C47=3,0.6,IF(C47=4,0.8,IF(C47=5,1,0))))))</f>
        <v>0.2</v>
      </c>
      <c r="D80" s="151" t="s">
        <v>190</v>
      </c>
    </row>
    <row r="81" spans="2:4" hidden="1">
      <c r="B81" s="151" t="s">
        <v>189</v>
      </c>
      <c r="C81" s="239">
        <v>0.1</v>
      </c>
      <c r="D81" s="151" t="s">
        <v>191</v>
      </c>
    </row>
    <row r="83" spans="2:4">
      <c r="B83" s="152" t="s">
        <v>192</v>
      </c>
      <c r="C83" s="96">
        <v>0.21</v>
      </c>
      <c r="D83" s="133"/>
    </row>
    <row r="84" spans="2:4">
      <c r="B84" s="133"/>
      <c r="C84" s="133"/>
      <c r="D84" s="133"/>
    </row>
    <row r="85" spans="2:4">
      <c r="B85" s="133"/>
      <c r="C85" s="133"/>
      <c r="D85" s="133"/>
    </row>
    <row r="86" spans="2:4">
      <c r="B86" s="137"/>
      <c r="C86" s="133"/>
      <c r="D86" s="133"/>
    </row>
  </sheetData>
  <sheetProtection algorithmName="SHA-512" hashValue="zkRDP1U+0Llj4h8Hf9eSE+s0ydSx63WhPvpqL5sre+TrEdjf6YaG1xm3b5f+ShBww4iaRji9ijUUtZvr+oelVg==" saltValue="maRmbjkxVrQBxeNlWBrE5w==" spinCount="100000" sheet="1" objects="1" scenarios="1" selectLockedCells="1"/>
  <mergeCells count="3">
    <mergeCell ref="B50:B51"/>
    <mergeCell ref="C1:N3"/>
    <mergeCell ref="B4:D4"/>
  </mergeCells>
  <pageMargins left="0.7" right="0.7" top="0.75" bottom="0.75" header="0.3" footer="0.3"/>
  <pageSetup orientation="portrait" horizontalDpi="4294967293" verticalDpi="4294967293"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6308C-9909-4EA0-86E8-A8DE4EDA1E7C}">
  <sheetPr>
    <tabColor theme="8" tint="-0.499984740745262"/>
  </sheetPr>
  <dimension ref="A1:R80"/>
  <sheetViews>
    <sheetView topLeftCell="A5" zoomScale="73" zoomScaleNormal="120" workbookViewId="0">
      <selection activeCell="C41" sqref="C41"/>
    </sheetView>
  </sheetViews>
  <sheetFormatPr defaultColWidth="0" defaultRowHeight="14.1"/>
  <cols>
    <col min="1" max="1" width="3.5703125" style="121" customWidth="1"/>
    <col min="2" max="2" width="54" style="121" bestFit="1" customWidth="1"/>
    <col min="3" max="3" width="20.5703125" style="136" customWidth="1"/>
    <col min="4" max="4" width="20.140625" style="121" bestFit="1" customWidth="1"/>
    <col min="5" max="6" width="8.85546875" style="121" customWidth="1"/>
    <col min="7" max="7" width="12" style="121" bestFit="1" customWidth="1"/>
    <col min="8" max="8" width="13.42578125" style="121" bestFit="1" customWidth="1"/>
    <col min="9" max="10" width="17.42578125" style="121" bestFit="1" customWidth="1"/>
    <col min="11" max="11" width="18.5703125" style="121" bestFit="1" customWidth="1"/>
    <col min="12" max="12" width="19.85546875" style="121" bestFit="1" customWidth="1"/>
    <col min="13" max="13" width="20" style="121" bestFit="1" customWidth="1"/>
    <col min="14" max="16" width="8.85546875" style="121" customWidth="1"/>
    <col min="17" max="17" width="0" style="121" hidden="1" customWidth="1"/>
    <col min="18" max="18" width="12" style="121" hidden="1" customWidth="1"/>
    <col min="19" max="16384" width="8.85546875" style="121" hidden="1"/>
  </cols>
  <sheetData>
    <row r="1" spans="1:16" ht="14.1" customHeight="1">
      <c r="A1" s="133"/>
      <c r="B1" s="133"/>
      <c r="C1" s="218" t="s">
        <v>193</v>
      </c>
      <c r="D1" s="218"/>
      <c r="E1" s="218"/>
      <c r="F1" s="218"/>
      <c r="G1" s="218"/>
      <c r="H1" s="218"/>
      <c r="I1" s="218"/>
      <c r="J1" s="218"/>
      <c r="K1" s="218"/>
      <c r="L1" s="218"/>
      <c r="M1" s="218"/>
      <c r="N1" s="218"/>
      <c r="O1" s="133"/>
      <c r="P1" s="133"/>
    </row>
    <row r="2" spans="1:16" ht="14.1" customHeight="1">
      <c r="A2" s="133"/>
      <c r="B2" s="133"/>
      <c r="C2" s="218"/>
      <c r="D2" s="218"/>
      <c r="E2" s="218"/>
      <c r="F2" s="218"/>
      <c r="G2" s="218"/>
      <c r="H2" s="218"/>
      <c r="I2" s="218"/>
      <c r="J2" s="218"/>
      <c r="K2" s="218"/>
      <c r="L2" s="218"/>
      <c r="M2" s="218"/>
      <c r="N2" s="218"/>
      <c r="O2" s="133"/>
      <c r="P2" s="133"/>
    </row>
    <row r="3" spans="1:16" ht="14.1" customHeight="1">
      <c r="A3" s="133"/>
      <c r="B3" s="133"/>
      <c r="C3" s="218"/>
      <c r="D3" s="218"/>
      <c r="E3" s="218"/>
      <c r="F3" s="218"/>
      <c r="G3" s="218"/>
      <c r="H3" s="218"/>
      <c r="I3" s="218"/>
      <c r="J3" s="218"/>
      <c r="K3" s="218"/>
      <c r="L3" s="218"/>
      <c r="M3" s="218"/>
      <c r="N3" s="218"/>
      <c r="O3" s="133"/>
      <c r="P3" s="133"/>
    </row>
    <row r="4" spans="1:16" ht="14.45">
      <c r="A4" s="60"/>
      <c r="B4" s="214"/>
      <c r="C4" s="226"/>
      <c r="D4" s="226"/>
      <c r="E4" s="61"/>
      <c r="F4" s="62"/>
      <c r="G4" s="60"/>
      <c r="H4" s="63"/>
      <c r="I4" s="63"/>
      <c r="J4" s="61"/>
      <c r="K4" s="64"/>
      <c r="L4" s="64"/>
      <c r="M4" s="133"/>
      <c r="N4" s="133"/>
      <c r="O4" s="133"/>
      <c r="P4" s="133"/>
    </row>
    <row r="5" spans="1:16" ht="14.45">
      <c r="A5" s="122"/>
      <c r="B5" s="123"/>
      <c r="C5" s="124"/>
      <c r="D5" s="124"/>
      <c r="E5" s="125"/>
      <c r="F5" s="126"/>
      <c r="G5" s="122"/>
      <c r="H5" s="123"/>
      <c r="I5" s="123"/>
      <c r="J5" s="125"/>
      <c r="K5" s="126"/>
      <c r="L5" s="126"/>
      <c r="M5" s="133"/>
      <c r="N5" s="133"/>
      <c r="O5" s="133"/>
      <c r="P5" s="133"/>
    </row>
    <row r="6" spans="1:16" ht="15">
      <c r="A6" s="227"/>
      <c r="B6" s="127" t="s">
        <v>83</v>
      </c>
      <c r="C6" s="128" t="s">
        <v>84</v>
      </c>
      <c r="D6" s="128"/>
      <c r="E6" s="128"/>
      <c r="F6" s="128"/>
      <c r="G6" s="128"/>
      <c r="H6" s="129"/>
      <c r="I6" s="129"/>
      <c r="J6" s="129"/>
      <c r="K6" s="130"/>
      <c r="L6" s="228"/>
      <c r="M6" s="227"/>
      <c r="N6" s="227"/>
      <c r="O6" s="227"/>
      <c r="P6" s="227"/>
    </row>
    <row r="7" spans="1:16" ht="15">
      <c r="A7" s="227"/>
      <c r="B7" s="127"/>
      <c r="C7" s="128"/>
      <c r="D7" s="128"/>
      <c r="E7" s="128"/>
      <c r="F7" s="128"/>
      <c r="G7" s="128"/>
      <c r="H7" s="129"/>
      <c r="I7" s="129"/>
      <c r="J7" s="129"/>
      <c r="K7" s="130"/>
      <c r="L7" s="228"/>
      <c r="M7" s="227"/>
      <c r="N7" s="227"/>
      <c r="O7" s="227"/>
      <c r="P7" s="227"/>
    </row>
    <row r="9" spans="1:16">
      <c r="A9" s="133"/>
      <c r="B9" s="131" t="s">
        <v>85</v>
      </c>
      <c r="C9" s="254">
        <f>'Sc0-CBA'!C9</f>
        <v>680000000</v>
      </c>
      <c r="D9" s="229" t="s">
        <v>86</v>
      </c>
      <c r="E9" s="133"/>
      <c r="F9" s="132" t="s">
        <v>87</v>
      </c>
      <c r="G9" s="132" t="s">
        <v>88</v>
      </c>
      <c r="H9" s="132" t="s">
        <v>89</v>
      </c>
      <c r="I9" s="132" t="s">
        <v>90</v>
      </c>
      <c r="J9" s="132" t="s">
        <v>91</v>
      </c>
      <c r="K9" s="132" t="s">
        <v>92</v>
      </c>
      <c r="L9" s="132" t="s">
        <v>93</v>
      </c>
      <c r="M9" s="132" t="s">
        <v>94</v>
      </c>
      <c r="N9" s="133"/>
      <c r="O9" s="133"/>
      <c r="P9" s="133"/>
    </row>
    <row r="10" spans="1:16">
      <c r="A10" s="133"/>
      <c r="B10" s="131" t="s">
        <v>95</v>
      </c>
      <c r="C10" s="138">
        <v>17000</v>
      </c>
      <c r="D10" s="229" t="s">
        <v>86</v>
      </c>
      <c r="E10" s="133"/>
      <c r="F10" s="230">
        <v>0</v>
      </c>
      <c r="G10" s="231"/>
      <c r="H10" s="231"/>
      <c r="I10" s="231"/>
      <c r="J10" s="231"/>
      <c r="K10" s="232">
        <f>C9-C12*C13</f>
        <v>680000000</v>
      </c>
      <c r="L10" s="232"/>
      <c r="M10" s="232">
        <f>(H10+J10+L10)-(G10+I10+K10)</f>
        <v>-680000000</v>
      </c>
      <c r="N10" s="133"/>
      <c r="O10" s="233"/>
      <c r="P10" s="133"/>
    </row>
    <row r="11" spans="1:16">
      <c r="A11" s="133"/>
      <c r="B11" s="131" t="s">
        <v>96</v>
      </c>
      <c r="C11" s="234">
        <f>C10*(1-C41)</f>
        <v>17000</v>
      </c>
      <c r="D11" s="229" t="s">
        <v>86</v>
      </c>
      <c r="E11" s="133"/>
      <c r="F11" s="230">
        <v>1</v>
      </c>
      <c r="G11" s="232">
        <f t="shared" ref="G11:G21" si="0">$C$25</f>
        <v>0</v>
      </c>
      <c r="H11" s="232">
        <f t="shared" ref="H11:H21" si="1">$C$24</f>
        <v>0</v>
      </c>
      <c r="I11" s="232">
        <v>0</v>
      </c>
      <c r="J11" s="232">
        <f>$C$18*$C$20*$C$13+($C$19*$C$21*$C$13*$C$34+$C$19*$C$22*$C$13*$C$35+$C$19*$C$20*$C$13*$C$36+$C$19*$C$23*$C$13*$C$37)</f>
        <v>14429346.239999998</v>
      </c>
      <c r="K11" s="232"/>
      <c r="L11" s="232"/>
      <c r="M11" s="232">
        <f>(H11+J11+L11)-(G11+I11+K11)</f>
        <v>14429346.239999998</v>
      </c>
      <c r="N11" s="133"/>
      <c r="O11" s="233"/>
      <c r="P11" s="133"/>
    </row>
    <row r="12" spans="1:16">
      <c r="A12" s="133"/>
      <c r="B12" s="131" t="s">
        <v>97</v>
      </c>
      <c r="C12" s="234">
        <v>0</v>
      </c>
      <c r="D12" s="229" t="s">
        <v>86</v>
      </c>
      <c r="E12" s="133"/>
      <c r="F12" s="230">
        <v>2</v>
      </c>
      <c r="G12" s="232">
        <f t="shared" si="0"/>
        <v>0</v>
      </c>
      <c r="H12" s="232">
        <f t="shared" si="1"/>
        <v>0</v>
      </c>
      <c r="I12" s="232">
        <v>0</v>
      </c>
      <c r="J12" s="232">
        <f t="shared" ref="J12" si="2">$C$18*$C$20*$C$13+($C$19*$C$21*$C$13*$C$34+$C$19*$C$22*$C$13*$C$35+$C$19*$C$20*$C$13*$C$36+$C$19*$C$23*$C$13*$C$37)</f>
        <v>14429346.239999998</v>
      </c>
      <c r="K12" s="232"/>
      <c r="L12" s="232"/>
      <c r="M12" s="232">
        <f t="shared" ref="M12:M35" si="3">(H12+J12+L12)-(G12+I12+K12)</f>
        <v>14429346.239999998</v>
      </c>
      <c r="N12" s="133"/>
      <c r="O12" s="233"/>
      <c r="P12" s="133"/>
    </row>
    <row r="13" spans="1:16">
      <c r="A13" s="133"/>
      <c r="B13" s="131" t="s">
        <v>98</v>
      </c>
      <c r="C13" s="235">
        <f>C9/C11</f>
        <v>40000</v>
      </c>
      <c r="D13" s="229" t="s">
        <v>194</v>
      </c>
      <c r="E13" s="133"/>
      <c r="F13" s="230">
        <v>3</v>
      </c>
      <c r="G13" s="232">
        <f t="shared" si="0"/>
        <v>0</v>
      </c>
      <c r="H13" s="232">
        <f t="shared" si="1"/>
        <v>0</v>
      </c>
      <c r="I13" s="232">
        <v>0</v>
      </c>
      <c r="J13" s="232">
        <f>$C$18*$C$20*$C$13+($C$19*C44*$C$13*$C$34+$C$19*C48*$C$13*$C$35+$C$19*$C$20*$C$13*$C$36+$C$19*$C$23*$C$13*$C$37)</f>
        <v>14485997.51424</v>
      </c>
      <c r="K13" s="232"/>
      <c r="L13" s="232"/>
      <c r="M13" s="232">
        <f t="shared" si="3"/>
        <v>14485997.51424</v>
      </c>
      <c r="N13" s="133"/>
      <c r="O13" s="233"/>
      <c r="P13" s="133"/>
    </row>
    <row r="14" spans="1:16">
      <c r="A14" s="133"/>
      <c r="B14" s="131" t="s">
        <v>100</v>
      </c>
      <c r="C14" s="264">
        <f>'Sc0-CBA'!C14</f>
        <v>104</v>
      </c>
      <c r="D14" s="229" t="s">
        <v>101</v>
      </c>
      <c r="E14" s="133"/>
      <c r="F14" s="230">
        <v>4</v>
      </c>
      <c r="G14" s="232">
        <f t="shared" si="0"/>
        <v>0</v>
      </c>
      <c r="H14" s="232">
        <f t="shared" si="1"/>
        <v>0</v>
      </c>
      <c r="I14" s="232">
        <v>0</v>
      </c>
      <c r="J14" s="232">
        <f>$C$18*$C$20*$C$13+($C$19*C45*$C$13*$C$34+$C$19*C49*$C$13*$C$35+$C$19*$C$20*$C$13*$C$36+$C$19*$C$23*$C$13*$C$37)</f>
        <v>14814006.954239998</v>
      </c>
      <c r="K14" s="232"/>
      <c r="L14" s="232"/>
      <c r="M14" s="232">
        <f t="shared" si="3"/>
        <v>14814006.954239998</v>
      </c>
      <c r="N14" s="133"/>
      <c r="O14" s="233"/>
      <c r="P14" s="133"/>
    </row>
    <row r="15" spans="1:16">
      <c r="A15" s="133"/>
      <c r="B15" s="131" t="s">
        <v>102</v>
      </c>
      <c r="C15" s="234">
        <f>'Sc0-CBA'!C15</f>
        <v>4070</v>
      </c>
      <c r="D15" s="229" t="s">
        <v>101</v>
      </c>
      <c r="E15" s="133"/>
      <c r="F15" s="230">
        <v>5</v>
      </c>
      <c r="G15" s="232">
        <f t="shared" si="0"/>
        <v>0</v>
      </c>
      <c r="H15" s="232">
        <f t="shared" si="1"/>
        <v>0</v>
      </c>
      <c r="I15" s="232">
        <v>0</v>
      </c>
      <c r="J15" s="232">
        <f>$C$18*$C$20*$C$13+($C$19*C46*$C$13*$C$34+$C$19*C50*$C$13*$C$35+$C$19*$C$20*$C$13*$C$36+$C$19*$C$23*$C$13*$C$37)</f>
        <v>14890392.71424</v>
      </c>
      <c r="K15" s="232"/>
      <c r="L15" s="232"/>
      <c r="M15" s="232">
        <f t="shared" si="3"/>
        <v>14890392.71424</v>
      </c>
      <c r="N15" s="133"/>
      <c r="O15" s="233"/>
      <c r="P15" s="133"/>
    </row>
    <row r="16" spans="1:16">
      <c r="A16" s="133"/>
      <c r="B16" s="103" t="s">
        <v>125</v>
      </c>
      <c r="C16" s="139">
        <v>0.69</v>
      </c>
      <c r="D16" s="229" t="s">
        <v>104</v>
      </c>
      <c r="E16" s="133"/>
      <c r="F16" s="230">
        <v>6</v>
      </c>
      <c r="G16" s="232">
        <f t="shared" si="0"/>
        <v>0</v>
      </c>
      <c r="H16" s="232">
        <f t="shared" si="1"/>
        <v>0</v>
      </c>
      <c r="I16" s="232">
        <v>0</v>
      </c>
      <c r="J16" s="232">
        <f t="shared" ref="J16:J35" si="4">$C$18*$C$20*$C$13+($C$19*$C$47*$C$13*$C$34+$C$19*$C$51*$C$13*$C$35+$C$19*$C$20*$C$13*$C$36+$C$19*$C$23*$C$13*$C$37)</f>
        <v>14966778.474239998</v>
      </c>
      <c r="K16" s="232"/>
      <c r="L16" s="232"/>
      <c r="M16" s="232">
        <f t="shared" si="3"/>
        <v>14966778.474239998</v>
      </c>
      <c r="N16" s="133"/>
      <c r="O16" s="233"/>
      <c r="P16" s="133"/>
    </row>
    <row r="17" spans="2:15">
      <c r="B17" s="131" t="s">
        <v>127</v>
      </c>
      <c r="C17" s="139">
        <v>0.69</v>
      </c>
      <c r="D17" s="229" t="s">
        <v>104</v>
      </c>
      <c r="E17" s="133"/>
      <c r="F17" s="230">
        <v>7</v>
      </c>
      <c r="G17" s="232">
        <f t="shared" si="0"/>
        <v>0</v>
      </c>
      <c r="H17" s="232">
        <f t="shared" si="1"/>
        <v>0</v>
      </c>
      <c r="I17" s="232">
        <v>0</v>
      </c>
      <c r="J17" s="232">
        <f t="shared" si="4"/>
        <v>14966778.474239998</v>
      </c>
      <c r="K17" s="232"/>
      <c r="L17" s="232"/>
      <c r="M17" s="232">
        <f t="shared" si="3"/>
        <v>14966778.474239998</v>
      </c>
      <c r="N17" s="133"/>
      <c r="O17" s="233"/>
    </row>
    <row r="18" spans="2:15">
      <c r="B18" s="103" t="s">
        <v>154</v>
      </c>
      <c r="C18" s="234">
        <f>C14*C16</f>
        <v>71.759999999999991</v>
      </c>
      <c r="D18" s="229" t="s">
        <v>101</v>
      </c>
      <c r="E18" s="133"/>
      <c r="F18" s="230">
        <v>8</v>
      </c>
      <c r="G18" s="232">
        <f t="shared" si="0"/>
        <v>0</v>
      </c>
      <c r="H18" s="232">
        <f t="shared" si="1"/>
        <v>0</v>
      </c>
      <c r="I18" s="232">
        <v>0</v>
      </c>
      <c r="J18" s="232">
        <f t="shared" si="4"/>
        <v>14966778.474239998</v>
      </c>
      <c r="K18" s="232"/>
      <c r="L18" s="232"/>
      <c r="M18" s="232">
        <f t="shared" si="3"/>
        <v>14966778.474239998</v>
      </c>
      <c r="N18" s="133"/>
      <c r="O18" s="233"/>
    </row>
    <row r="19" spans="2:15">
      <c r="B19" s="131" t="s">
        <v>155</v>
      </c>
      <c r="C19" s="234">
        <f>C15*C17</f>
        <v>2808.2999999999997</v>
      </c>
      <c r="D19" s="229" t="s">
        <v>101</v>
      </c>
      <c r="E19" s="133"/>
      <c r="F19" s="230">
        <v>9</v>
      </c>
      <c r="G19" s="232">
        <f t="shared" si="0"/>
        <v>0</v>
      </c>
      <c r="H19" s="232">
        <f t="shared" si="1"/>
        <v>0</v>
      </c>
      <c r="I19" s="232">
        <v>0</v>
      </c>
      <c r="J19" s="232">
        <f t="shared" si="4"/>
        <v>14966778.474239998</v>
      </c>
      <c r="K19" s="232"/>
      <c r="L19" s="232"/>
      <c r="M19" s="232">
        <f t="shared" si="3"/>
        <v>14966778.474239998</v>
      </c>
      <c r="N19" s="133"/>
      <c r="O19" s="233"/>
    </row>
    <row r="20" spans="2:15">
      <c r="B20" s="103" t="s">
        <v>113</v>
      </c>
      <c r="C20" s="237">
        <f>'Energy prices'!$C$6/1000</f>
        <v>0.24</v>
      </c>
      <c r="D20" s="229" t="s">
        <v>114</v>
      </c>
      <c r="E20" s="133"/>
      <c r="F20" s="230">
        <v>10</v>
      </c>
      <c r="G20" s="232">
        <f t="shared" si="0"/>
        <v>0</v>
      </c>
      <c r="H20" s="232">
        <f t="shared" si="1"/>
        <v>0</v>
      </c>
      <c r="I20" s="232">
        <v>0</v>
      </c>
      <c r="J20" s="232">
        <f t="shared" si="4"/>
        <v>14966778.474239998</v>
      </c>
      <c r="K20" s="232"/>
      <c r="L20" s="232"/>
      <c r="M20" s="232">
        <f t="shared" si="3"/>
        <v>14966778.474239998</v>
      </c>
      <c r="N20" s="133"/>
      <c r="O20" s="233"/>
    </row>
    <row r="21" spans="2:15">
      <c r="B21" s="103" t="str">
        <f>'Sc0-CBA'!B26</f>
        <v>Natural gas price</v>
      </c>
      <c r="C21" s="237">
        <f>'Sc0-CBA'!C26</f>
        <v>0.114</v>
      </c>
      <c r="D21" s="229" t="s">
        <v>114</v>
      </c>
      <c r="E21" s="133"/>
      <c r="F21" s="230">
        <v>11</v>
      </c>
      <c r="G21" s="232">
        <f t="shared" si="0"/>
        <v>0</v>
      </c>
      <c r="H21" s="232">
        <f t="shared" si="1"/>
        <v>0</v>
      </c>
      <c r="I21" s="232">
        <v>0</v>
      </c>
      <c r="J21" s="232">
        <f t="shared" si="4"/>
        <v>14966778.474239998</v>
      </c>
      <c r="K21" s="232"/>
      <c r="L21" s="232"/>
      <c r="M21" s="232">
        <f t="shared" si="3"/>
        <v>14966778.474239998</v>
      </c>
      <c r="N21" s="133"/>
      <c r="O21" s="233"/>
    </row>
    <row r="22" spans="2:15">
      <c r="B22" s="103" t="str">
        <f>'Sc0-CBA'!B27</f>
        <v>Petroleum price</v>
      </c>
      <c r="C22" s="237">
        <f>'Energy prices'!C7/1000</f>
        <v>0.11</v>
      </c>
      <c r="D22" s="229" t="s">
        <v>114</v>
      </c>
      <c r="E22" s="133"/>
      <c r="F22" s="230">
        <v>12</v>
      </c>
      <c r="G22" s="232">
        <f t="shared" ref="G22:G23" si="5">$C$25</f>
        <v>0</v>
      </c>
      <c r="H22" s="232">
        <f t="shared" ref="H22:H23" si="6">$C$24</f>
        <v>0</v>
      </c>
      <c r="I22" s="232">
        <v>0</v>
      </c>
      <c r="J22" s="232">
        <f t="shared" si="4"/>
        <v>14966778.474239998</v>
      </c>
      <c r="K22" s="232"/>
      <c r="L22" s="232"/>
      <c r="M22" s="232">
        <f t="shared" si="3"/>
        <v>14966778.474239998</v>
      </c>
      <c r="N22" s="133"/>
      <c r="O22" s="233"/>
    </row>
    <row r="23" spans="2:15">
      <c r="B23" s="103" t="s">
        <v>122</v>
      </c>
      <c r="C23" s="237">
        <f>'Energy prices'!C10/1000</f>
        <v>1.7000000000000001E-2</v>
      </c>
      <c r="D23" s="229" t="s">
        <v>114</v>
      </c>
      <c r="E23" s="133"/>
      <c r="F23" s="230">
        <v>13</v>
      </c>
      <c r="G23" s="232">
        <f t="shared" si="5"/>
        <v>0</v>
      </c>
      <c r="H23" s="232">
        <f t="shared" si="6"/>
        <v>0</v>
      </c>
      <c r="I23" s="232">
        <v>0</v>
      </c>
      <c r="J23" s="232">
        <f t="shared" si="4"/>
        <v>14966778.474239998</v>
      </c>
      <c r="K23" s="232"/>
      <c r="L23" s="232"/>
      <c r="M23" s="232">
        <f t="shared" si="3"/>
        <v>14966778.474239998</v>
      </c>
      <c r="N23" s="133"/>
      <c r="O23" s="233"/>
    </row>
    <row r="24" spans="2:15">
      <c r="B24" s="131" t="s">
        <v>118</v>
      </c>
      <c r="C24" s="234">
        <v>0</v>
      </c>
      <c r="D24" s="229" t="s">
        <v>86</v>
      </c>
      <c r="E24" s="133"/>
      <c r="F24" s="230">
        <v>14</v>
      </c>
      <c r="G24" s="232">
        <f t="shared" ref="G24:G31" si="7">$C$25</f>
        <v>0</v>
      </c>
      <c r="H24" s="232">
        <f t="shared" ref="H24:H31" si="8">$C$24</f>
        <v>0</v>
      </c>
      <c r="I24" s="232">
        <v>0</v>
      </c>
      <c r="J24" s="232">
        <f t="shared" si="4"/>
        <v>14966778.474239998</v>
      </c>
      <c r="K24" s="232"/>
      <c r="L24" s="232"/>
      <c r="M24" s="232">
        <f t="shared" si="3"/>
        <v>14966778.474239998</v>
      </c>
      <c r="N24" s="133"/>
      <c r="O24" s="233"/>
    </row>
    <row r="25" spans="2:15" ht="27.95">
      <c r="B25" s="103" t="s">
        <v>119</v>
      </c>
      <c r="C25" s="234">
        <v>0</v>
      </c>
      <c r="D25" s="229" t="s">
        <v>86</v>
      </c>
      <c r="E25" s="133"/>
      <c r="F25" s="230">
        <v>15</v>
      </c>
      <c r="G25" s="232">
        <f t="shared" si="7"/>
        <v>0</v>
      </c>
      <c r="H25" s="232">
        <f t="shared" si="8"/>
        <v>0</v>
      </c>
      <c r="I25" s="232">
        <v>0</v>
      </c>
      <c r="J25" s="232">
        <f t="shared" si="4"/>
        <v>14966778.474239998</v>
      </c>
      <c r="K25" s="232"/>
      <c r="L25" s="232"/>
      <c r="M25" s="232">
        <f t="shared" si="3"/>
        <v>14966778.474239998</v>
      </c>
      <c r="N25" s="133"/>
      <c r="O25" s="233"/>
    </row>
    <row r="26" spans="2:15">
      <c r="B26" s="103" t="s">
        <v>93</v>
      </c>
      <c r="C26" s="241">
        <v>0.1</v>
      </c>
      <c r="D26" s="229" t="s">
        <v>195</v>
      </c>
      <c r="E26" s="133"/>
      <c r="F26" s="230">
        <v>16</v>
      </c>
      <c r="G26" s="232">
        <f t="shared" si="7"/>
        <v>0</v>
      </c>
      <c r="H26" s="232">
        <f t="shared" si="8"/>
        <v>0</v>
      </c>
      <c r="I26" s="232">
        <v>0</v>
      </c>
      <c r="J26" s="232">
        <f t="shared" si="4"/>
        <v>14966778.474239998</v>
      </c>
      <c r="K26" s="232"/>
      <c r="L26" s="232"/>
      <c r="M26" s="232">
        <f t="shared" si="3"/>
        <v>14966778.474239998</v>
      </c>
      <c r="N26" s="233"/>
      <c r="O26" s="233"/>
    </row>
    <row r="27" spans="2:15">
      <c r="B27" s="131" t="s">
        <v>121</v>
      </c>
      <c r="C27" s="239">
        <v>0.03</v>
      </c>
      <c r="D27" s="229" t="s">
        <v>104</v>
      </c>
      <c r="E27" s="133"/>
      <c r="F27" s="230">
        <v>17</v>
      </c>
      <c r="G27" s="232">
        <f t="shared" si="7"/>
        <v>0</v>
      </c>
      <c r="H27" s="232">
        <f t="shared" si="8"/>
        <v>0</v>
      </c>
      <c r="I27" s="231">
        <v>0</v>
      </c>
      <c r="J27" s="232">
        <f t="shared" si="4"/>
        <v>14966778.474239998</v>
      </c>
      <c r="K27" s="231"/>
      <c r="L27" s="231"/>
      <c r="M27" s="232">
        <f t="shared" si="3"/>
        <v>14966778.474239998</v>
      </c>
      <c r="N27" s="133"/>
      <c r="O27" s="133"/>
    </row>
    <row r="28" spans="2:15">
      <c r="B28" s="133"/>
      <c r="C28" s="249"/>
      <c r="D28" s="133"/>
      <c r="E28" s="133"/>
      <c r="F28" s="230">
        <v>18</v>
      </c>
      <c r="G28" s="232">
        <f t="shared" si="7"/>
        <v>0</v>
      </c>
      <c r="H28" s="232">
        <f t="shared" si="8"/>
        <v>0</v>
      </c>
      <c r="I28" s="231">
        <v>0</v>
      </c>
      <c r="J28" s="232">
        <f t="shared" si="4"/>
        <v>14966778.474239998</v>
      </c>
      <c r="K28" s="231"/>
      <c r="L28" s="231"/>
      <c r="M28" s="232">
        <f t="shared" si="3"/>
        <v>14966778.474239998</v>
      </c>
      <c r="N28" s="133"/>
      <c r="O28" s="133"/>
    </row>
    <row r="29" spans="2:15">
      <c r="B29" s="135" t="s">
        <v>133</v>
      </c>
      <c r="C29" s="100">
        <f>NPV(C27,M11:M35)+M10</f>
        <v>-421051245.4889518</v>
      </c>
      <c r="D29" s="133"/>
      <c r="E29" s="133"/>
      <c r="F29" s="230">
        <v>19</v>
      </c>
      <c r="G29" s="232">
        <f t="shared" si="7"/>
        <v>0</v>
      </c>
      <c r="H29" s="232">
        <f t="shared" si="8"/>
        <v>0</v>
      </c>
      <c r="I29" s="231">
        <v>0</v>
      </c>
      <c r="J29" s="232">
        <f t="shared" si="4"/>
        <v>14966778.474239998</v>
      </c>
      <c r="K29" s="231"/>
      <c r="L29" s="231"/>
      <c r="M29" s="232">
        <f t="shared" si="3"/>
        <v>14966778.474239998</v>
      </c>
      <c r="N29" s="133"/>
      <c r="O29" s="133"/>
    </row>
    <row r="30" spans="2:15">
      <c r="B30" s="135" t="s">
        <v>134</v>
      </c>
      <c r="C30" s="101">
        <f>IRR(M10:M35)</f>
        <v>-4.1688249777024788E-2</v>
      </c>
      <c r="D30" s="133"/>
      <c r="E30" s="133"/>
      <c r="F30" s="230">
        <v>20</v>
      </c>
      <c r="G30" s="232">
        <f t="shared" si="7"/>
        <v>0</v>
      </c>
      <c r="H30" s="232">
        <f t="shared" si="8"/>
        <v>0</v>
      </c>
      <c r="I30" s="231">
        <v>0</v>
      </c>
      <c r="J30" s="232">
        <f t="shared" si="4"/>
        <v>14966778.474239998</v>
      </c>
      <c r="K30" s="231"/>
      <c r="L30" s="231"/>
      <c r="M30" s="232">
        <f t="shared" si="3"/>
        <v>14966778.474239998</v>
      </c>
      <c r="N30" s="133"/>
      <c r="O30" s="133"/>
    </row>
    <row r="31" spans="2:15">
      <c r="B31" s="135" t="s">
        <v>135</v>
      </c>
      <c r="C31" s="102">
        <f>(H36+J36+L36)/(G36+I36+K36)</f>
        <v>0.3808069919280121</v>
      </c>
      <c r="D31" s="133"/>
      <c r="E31" s="133"/>
      <c r="F31" s="230">
        <v>21</v>
      </c>
      <c r="G31" s="232">
        <f t="shared" si="7"/>
        <v>0</v>
      </c>
      <c r="H31" s="232">
        <f t="shared" si="8"/>
        <v>0</v>
      </c>
      <c r="I31" s="231">
        <v>0</v>
      </c>
      <c r="J31" s="232">
        <f t="shared" si="4"/>
        <v>14966778.474239998</v>
      </c>
      <c r="K31" s="231"/>
      <c r="L31" s="231"/>
      <c r="M31" s="232">
        <f t="shared" si="3"/>
        <v>14966778.474239998</v>
      </c>
      <c r="N31" s="133"/>
      <c r="O31" s="133"/>
    </row>
    <row r="32" spans="2:15">
      <c r="B32" s="153"/>
      <c r="C32" s="118"/>
      <c r="D32" s="133"/>
      <c r="E32" s="133"/>
      <c r="F32" s="230">
        <v>22</v>
      </c>
      <c r="G32" s="232">
        <f t="shared" ref="G32:G35" si="9">$C$25</f>
        <v>0</v>
      </c>
      <c r="H32" s="232">
        <f t="shared" ref="H32:H35" si="10">$C$24</f>
        <v>0</v>
      </c>
      <c r="I32" s="231">
        <v>0</v>
      </c>
      <c r="J32" s="232">
        <f t="shared" si="4"/>
        <v>14966778.474239998</v>
      </c>
      <c r="K32" s="231"/>
      <c r="L32" s="231"/>
      <c r="M32" s="232">
        <f t="shared" si="3"/>
        <v>14966778.474239998</v>
      </c>
      <c r="N32" s="133"/>
      <c r="O32" s="133"/>
    </row>
    <row r="33" spans="2:13">
      <c r="B33" s="104" t="str">
        <f>'Sc0-CBA'!G32</f>
        <v>Fuel share per households in the region</v>
      </c>
      <c r="C33" s="265"/>
      <c r="D33" s="133"/>
      <c r="E33" s="133"/>
      <c r="F33" s="230">
        <v>23</v>
      </c>
      <c r="G33" s="232">
        <f t="shared" si="9"/>
        <v>0</v>
      </c>
      <c r="H33" s="232">
        <f t="shared" si="10"/>
        <v>0</v>
      </c>
      <c r="I33" s="231">
        <v>0</v>
      </c>
      <c r="J33" s="232">
        <f t="shared" si="4"/>
        <v>14966778.474239998</v>
      </c>
      <c r="K33" s="231"/>
      <c r="L33" s="231"/>
      <c r="M33" s="232">
        <f t="shared" si="3"/>
        <v>14966778.474239998</v>
      </c>
    </row>
    <row r="34" spans="2:13">
      <c r="B34" s="244" t="str">
        <f>'Sc0-CBA'!G33</f>
        <v>Natural gas</v>
      </c>
      <c r="C34" s="247">
        <f>'Sc0-CBA'!H33</f>
        <v>0.48</v>
      </c>
      <c r="D34" s="133"/>
      <c r="E34" s="133"/>
      <c r="F34" s="230">
        <v>24</v>
      </c>
      <c r="G34" s="232">
        <f t="shared" si="9"/>
        <v>0</v>
      </c>
      <c r="H34" s="232">
        <f t="shared" si="10"/>
        <v>0</v>
      </c>
      <c r="I34" s="231">
        <v>0</v>
      </c>
      <c r="J34" s="232">
        <f t="shared" si="4"/>
        <v>14966778.474239998</v>
      </c>
      <c r="K34" s="231"/>
      <c r="L34" s="231"/>
      <c r="M34" s="232">
        <f t="shared" si="3"/>
        <v>14966778.474239998</v>
      </c>
    </row>
    <row r="35" spans="2:13">
      <c r="B35" s="244" t="str">
        <f>'Sc0-CBA'!G34</f>
        <v>Petroleum derivatives</v>
      </c>
      <c r="C35" s="247">
        <f>'Sc0-CBA'!H34</f>
        <v>0.2</v>
      </c>
      <c r="D35" s="133"/>
      <c r="E35" s="133"/>
      <c r="F35" s="230">
        <v>25</v>
      </c>
      <c r="G35" s="232">
        <f t="shared" si="9"/>
        <v>0</v>
      </c>
      <c r="H35" s="232">
        <f t="shared" si="10"/>
        <v>0</v>
      </c>
      <c r="I35" s="231">
        <v>0</v>
      </c>
      <c r="J35" s="232">
        <f t="shared" si="4"/>
        <v>14966778.474239998</v>
      </c>
      <c r="K35" s="231"/>
      <c r="L35" s="231"/>
      <c r="M35" s="232">
        <f t="shared" si="3"/>
        <v>14966778.474239998</v>
      </c>
    </row>
    <row r="36" spans="2:13">
      <c r="B36" s="246" t="s">
        <v>128</v>
      </c>
      <c r="C36" s="247">
        <f>'Sc0-CBA'!H35</f>
        <v>0.19</v>
      </c>
      <c r="D36" s="133"/>
      <c r="E36" s="133"/>
      <c r="F36" s="134" t="s">
        <v>116</v>
      </c>
      <c r="G36" s="98">
        <f>NPV($C$27,G11:G35)+G10</f>
        <v>0</v>
      </c>
      <c r="H36" s="98">
        <f t="shared" ref="H36:M36" si="11">NPV($C$27,H11:H35)+H10</f>
        <v>0</v>
      </c>
      <c r="I36" s="98">
        <f t="shared" si="11"/>
        <v>0</v>
      </c>
      <c r="J36" s="98">
        <f t="shared" si="11"/>
        <v>258948754.51104823</v>
      </c>
      <c r="K36" s="98">
        <f t="shared" si="11"/>
        <v>680000000</v>
      </c>
      <c r="L36" s="98">
        <f t="shared" si="11"/>
        <v>0</v>
      </c>
      <c r="M36" s="98">
        <f t="shared" si="11"/>
        <v>-421051245.4889518</v>
      </c>
    </row>
    <row r="37" spans="2:13">
      <c r="B37" s="246" t="s">
        <v>78</v>
      </c>
      <c r="C37" s="247">
        <f>'Sc0-CBA'!H36</f>
        <v>0</v>
      </c>
      <c r="D37" s="133"/>
      <c r="E37" s="133"/>
      <c r="F37" s="133"/>
      <c r="G37" s="133"/>
      <c r="H37" s="233"/>
      <c r="I37" s="133"/>
      <c r="J37" s="133"/>
      <c r="K37" s="133"/>
      <c r="L37" s="133"/>
      <c r="M37" s="133"/>
    </row>
    <row r="38" spans="2:13">
      <c r="B38" s="246" t="s">
        <v>81</v>
      </c>
      <c r="C38" s="247">
        <f>'Sc0-CBA'!H37</f>
        <v>0.12</v>
      </c>
      <c r="D38" s="133"/>
      <c r="E38" s="133"/>
      <c r="F38" s="133"/>
      <c r="G38" s="133"/>
      <c r="H38" s="233"/>
      <c r="I38" s="133"/>
      <c r="J38" s="133"/>
      <c r="K38" s="133"/>
      <c r="L38" s="133"/>
      <c r="M38" s="133"/>
    </row>
    <row r="39" spans="2:13">
      <c r="B39" s="246" t="s">
        <v>116</v>
      </c>
      <c r="C39" s="247">
        <f>SUM(C34:C38)</f>
        <v>0.98999999999999988</v>
      </c>
      <c r="D39" s="133"/>
      <c r="E39" s="133"/>
      <c r="F39" s="133"/>
      <c r="G39" s="133"/>
      <c r="H39" s="133"/>
      <c r="I39" s="133"/>
      <c r="J39" s="133"/>
      <c r="K39" s="133"/>
      <c r="L39" s="133"/>
      <c r="M39" s="133"/>
    </row>
    <row r="40" spans="2:13">
      <c r="B40" s="133"/>
      <c r="C40" s="266"/>
      <c r="D40" s="133"/>
      <c r="E40" s="133"/>
      <c r="F40" s="133"/>
      <c r="G40" s="133"/>
      <c r="H40" s="133"/>
      <c r="I40" s="133"/>
      <c r="J40" s="133"/>
      <c r="K40" s="133"/>
      <c r="L40" s="133"/>
      <c r="M40" s="133"/>
    </row>
    <row r="41" spans="2:13">
      <c r="B41" s="154" t="s">
        <v>136</v>
      </c>
      <c r="C41" s="139">
        <v>0</v>
      </c>
      <c r="D41" s="229" t="s">
        <v>104</v>
      </c>
      <c r="E41" s="133"/>
      <c r="F41" s="133"/>
      <c r="G41" s="133"/>
      <c r="H41" s="133"/>
      <c r="I41" s="133"/>
      <c r="J41" s="133"/>
      <c r="K41" s="133"/>
      <c r="L41" s="133"/>
      <c r="M41" s="133"/>
    </row>
    <row r="42" spans="2:13">
      <c r="B42" s="155"/>
      <c r="C42" s="267"/>
      <c r="D42" s="249"/>
      <c r="E42" s="133"/>
      <c r="F42" s="133"/>
      <c r="G42" s="133"/>
      <c r="H42" s="133"/>
      <c r="I42" s="133"/>
      <c r="J42" s="133"/>
      <c r="K42" s="133"/>
      <c r="L42" s="133"/>
      <c r="M42" s="133"/>
    </row>
    <row r="43" spans="2:13" hidden="1">
      <c r="B43" s="137" t="s">
        <v>137</v>
      </c>
      <c r="C43" s="233">
        <v>1</v>
      </c>
      <c r="D43" s="133" t="s">
        <v>138</v>
      </c>
      <c r="E43" s="133"/>
      <c r="F43" s="133"/>
      <c r="G43" s="133"/>
      <c r="H43" s="133"/>
      <c r="I43" s="133"/>
      <c r="J43" s="133"/>
      <c r="K43" s="133"/>
      <c r="L43" s="133"/>
      <c r="M43" s="133"/>
    </row>
    <row r="44" spans="2:13" hidden="1">
      <c r="B44" s="133" t="s">
        <v>139</v>
      </c>
      <c r="C44" s="250">
        <f>IF(C43=1,C21*(1+D44),C21)</f>
        <v>0.11468400000000001</v>
      </c>
      <c r="D44" s="251">
        <v>6.0000000000000001E-3</v>
      </c>
      <c r="E44" s="133"/>
      <c r="F44" s="133"/>
      <c r="G44" s="133"/>
      <c r="H44" s="133"/>
      <c r="I44" s="133"/>
      <c r="J44" s="133"/>
      <c r="K44" s="133"/>
      <c r="L44" s="133"/>
      <c r="M44" s="133"/>
    </row>
    <row r="45" spans="2:13" hidden="1">
      <c r="B45" s="133" t="s">
        <v>140</v>
      </c>
      <c r="C45" s="252">
        <f>IF(C43=1,C44+D45,C21)</f>
        <v>0.11868400000000001</v>
      </c>
      <c r="D45" s="251">
        <v>4.0000000000000001E-3</v>
      </c>
      <c r="E45" s="133"/>
      <c r="F45" s="133"/>
      <c r="G45" s="133"/>
      <c r="H45" s="133"/>
      <c r="I45" s="133"/>
      <c r="J45" s="133"/>
      <c r="K45" s="133"/>
      <c r="L45" s="133"/>
      <c r="M45" s="133"/>
    </row>
    <row r="46" spans="2:13" hidden="1">
      <c r="B46" s="133" t="s">
        <v>141</v>
      </c>
      <c r="C46" s="252">
        <f>IF(C43=1,C45+D46,C21)</f>
        <v>0.11968400000000001</v>
      </c>
      <c r="D46" s="251">
        <v>1E-3</v>
      </c>
      <c r="E46" s="133"/>
      <c r="F46" s="133"/>
      <c r="G46" s="133"/>
      <c r="H46" s="133"/>
      <c r="I46" s="133"/>
      <c r="J46" s="133"/>
      <c r="K46" s="133"/>
      <c r="L46" s="133"/>
      <c r="M46" s="133"/>
    </row>
    <row r="47" spans="2:13" hidden="1">
      <c r="B47" s="133" t="s">
        <v>142</v>
      </c>
      <c r="C47" s="252">
        <f>IF(C43=1,C46+D47,C21)</f>
        <v>0.12068400000000001</v>
      </c>
      <c r="D47" s="251">
        <v>1E-3</v>
      </c>
      <c r="E47" s="133"/>
      <c r="F47" s="133"/>
      <c r="G47" s="133"/>
      <c r="H47" s="133"/>
      <c r="I47" s="133"/>
      <c r="J47" s="133"/>
      <c r="K47" s="133"/>
      <c r="L47" s="133"/>
      <c r="M47" s="133"/>
    </row>
    <row r="48" spans="2:13" hidden="1">
      <c r="B48" s="233" t="str">
        <f>'Sc0-CBA'!B54</f>
        <v>Petroleum price ETS 2 Year 3</v>
      </c>
      <c r="C48" s="253">
        <f>IF(C43=1,C22*(1+D48),C22)</f>
        <v>0.11088000000000001</v>
      </c>
      <c r="D48" s="251">
        <v>8.0000000000000002E-3</v>
      </c>
      <c r="E48" s="133"/>
      <c r="F48" s="133"/>
      <c r="G48" s="133"/>
      <c r="H48" s="133"/>
      <c r="I48" s="133"/>
      <c r="J48" s="133"/>
      <c r="K48" s="133"/>
      <c r="L48" s="133"/>
      <c r="M48" s="133"/>
    </row>
    <row r="49" spans="2:4" hidden="1">
      <c r="B49" s="233" t="str">
        <f>'Sc0-CBA'!B55</f>
        <v>Petroleum price ETS 2 Year 4</v>
      </c>
      <c r="C49" s="253">
        <f>IF($C$43=1,C48+D49,C22)</f>
        <v>0.11588000000000001</v>
      </c>
      <c r="D49" s="251">
        <v>5.0000000000000001E-3</v>
      </c>
    </row>
    <row r="50" spans="2:4" hidden="1">
      <c r="B50" s="233" t="str">
        <f>'Sc0-CBA'!B56</f>
        <v>Petroleum price ETS 2 Year 5</v>
      </c>
      <c r="C50" s="253">
        <f>IF($C$43=1,C49+D50,C22)</f>
        <v>0.11688000000000001</v>
      </c>
      <c r="D50" s="251">
        <v>1E-3</v>
      </c>
    </row>
    <row r="51" spans="2:4" hidden="1">
      <c r="B51" s="233" t="str">
        <f>'Sc0-CBA'!B57</f>
        <v>Petroleum price ETS 2 Year 6</v>
      </c>
      <c r="C51" s="253">
        <f>IF($C$43=1,C50+D51,C22)</f>
        <v>0.11788000000000001</v>
      </c>
      <c r="D51" s="251">
        <v>1E-3</v>
      </c>
    </row>
    <row r="52" spans="2:4">
      <c r="B52" s="133"/>
      <c r="C52" s="248"/>
      <c r="D52" s="133"/>
    </row>
    <row r="53" spans="2:4">
      <c r="B53" s="133"/>
      <c r="C53" s="248"/>
      <c r="D53" s="133"/>
    </row>
    <row r="54" spans="2:4">
      <c r="B54" s="133"/>
      <c r="C54" s="248"/>
      <c r="D54" s="133"/>
    </row>
    <row r="55" spans="2:4">
      <c r="B55" s="133"/>
      <c r="C55" s="248"/>
      <c r="D55" s="133"/>
    </row>
    <row r="56" spans="2:4">
      <c r="B56" s="133"/>
      <c r="C56" s="248"/>
      <c r="D56" s="133"/>
    </row>
    <row r="57" spans="2:4">
      <c r="B57" s="133"/>
      <c r="C57" s="248"/>
      <c r="D57" s="133"/>
    </row>
    <row r="58" spans="2:4">
      <c r="B58" s="133"/>
      <c r="C58" s="248"/>
      <c r="D58" s="133"/>
    </row>
    <row r="59" spans="2:4">
      <c r="B59" s="133"/>
      <c r="C59" s="248"/>
      <c r="D59" s="133"/>
    </row>
    <row r="60" spans="2:4">
      <c r="B60" s="133"/>
      <c r="C60" s="248"/>
      <c r="D60" s="133"/>
    </row>
    <row r="61" spans="2:4">
      <c r="B61" s="133"/>
      <c r="C61" s="248"/>
      <c r="D61" s="133"/>
    </row>
    <row r="62" spans="2:4">
      <c r="B62" s="133"/>
      <c r="C62" s="248"/>
      <c r="D62" s="133"/>
    </row>
    <row r="63" spans="2:4">
      <c r="B63" s="133"/>
      <c r="C63" s="248"/>
      <c r="D63" s="133"/>
    </row>
    <row r="67" spans="3:3">
      <c r="C67" s="248"/>
    </row>
    <row r="68" spans="3:3">
      <c r="C68" s="248"/>
    </row>
    <row r="69" spans="3:3">
      <c r="C69" s="248"/>
    </row>
    <row r="70" spans="3:3">
      <c r="C70" s="248"/>
    </row>
    <row r="80" spans="3:3">
      <c r="C80" s="248"/>
    </row>
  </sheetData>
  <sheetProtection algorithmName="SHA-512" hashValue="n1up+4lslyxTF210iO/eA1Y6rUnF43rpaBkZqpparqHWKv/ISY0kSg1sB8o1k48i1eG8F1M0zAKKgx5dkgMvBg==" saltValue="pKDFtzx4z4H3yWq45Seq4w==" spinCount="100000" sheet="1" objects="1" scenarios="1" selectLockedCells="1"/>
  <mergeCells count="2">
    <mergeCell ref="C1:N3"/>
    <mergeCell ref="B4:D4"/>
  </mergeCells>
  <pageMargins left="0.7" right="0.7" top="0.75" bottom="0.75" header="0.3" footer="0.3"/>
  <pageSetup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10364-4D67-408F-9251-A35592B1C2F9}">
  <sheetPr>
    <tabColor theme="8" tint="-0.499984740745262"/>
  </sheetPr>
  <dimension ref="A1:R80"/>
  <sheetViews>
    <sheetView zoomScale="60" zoomScaleNormal="60" workbookViewId="0">
      <selection activeCell="C17" sqref="C17"/>
    </sheetView>
  </sheetViews>
  <sheetFormatPr defaultColWidth="0" defaultRowHeight="14.1"/>
  <cols>
    <col min="1" max="1" width="3.5703125" style="121" customWidth="1"/>
    <col min="2" max="2" width="54" style="121" bestFit="1" customWidth="1"/>
    <col min="3" max="3" width="20.5703125" style="136" customWidth="1"/>
    <col min="4" max="4" width="20.140625" style="121" bestFit="1" customWidth="1"/>
    <col min="5" max="6" width="8.85546875" style="121" customWidth="1"/>
    <col min="7" max="7" width="12" style="121" bestFit="1" customWidth="1"/>
    <col min="8" max="8" width="13.42578125" style="121" bestFit="1" customWidth="1"/>
    <col min="9" max="10" width="17.42578125" style="121" bestFit="1" customWidth="1"/>
    <col min="11" max="11" width="18.5703125" style="121" bestFit="1" customWidth="1"/>
    <col min="12" max="12" width="19.85546875" style="121" bestFit="1" customWidth="1"/>
    <col min="13" max="13" width="20" style="121" bestFit="1" customWidth="1"/>
    <col min="14" max="15" width="8.85546875" style="121" customWidth="1"/>
    <col min="16" max="17" width="8.85546875" style="121" hidden="1" customWidth="1"/>
    <col min="18" max="18" width="12" style="121" hidden="1" customWidth="1"/>
    <col min="19" max="16384" width="8.85546875" style="121" hidden="1"/>
  </cols>
  <sheetData>
    <row r="1" spans="1:16" ht="14.1" customHeight="1">
      <c r="A1" s="133"/>
      <c r="B1" s="133"/>
      <c r="C1" s="218" t="s">
        <v>196</v>
      </c>
      <c r="D1" s="218"/>
      <c r="E1" s="218"/>
      <c r="F1" s="218"/>
      <c r="G1" s="218"/>
      <c r="H1" s="218"/>
      <c r="I1" s="218"/>
      <c r="J1" s="218"/>
      <c r="K1" s="218"/>
      <c r="L1" s="218"/>
      <c r="M1" s="218"/>
      <c r="N1" s="218"/>
      <c r="O1" s="133"/>
      <c r="P1" s="133"/>
    </row>
    <row r="2" spans="1:16" ht="14.1" customHeight="1">
      <c r="A2" s="133"/>
      <c r="B2" s="133"/>
      <c r="C2" s="218"/>
      <c r="D2" s="218"/>
      <c r="E2" s="218"/>
      <c r="F2" s="218"/>
      <c r="G2" s="218"/>
      <c r="H2" s="218"/>
      <c r="I2" s="218"/>
      <c r="J2" s="218"/>
      <c r="K2" s="218"/>
      <c r="L2" s="218"/>
      <c r="M2" s="218"/>
      <c r="N2" s="218"/>
      <c r="O2" s="133"/>
      <c r="P2" s="133"/>
    </row>
    <row r="3" spans="1:16" ht="14.1" customHeight="1">
      <c r="A3" s="133"/>
      <c r="B3" s="133"/>
      <c r="C3" s="218"/>
      <c r="D3" s="218"/>
      <c r="E3" s="218"/>
      <c r="F3" s="218"/>
      <c r="G3" s="218"/>
      <c r="H3" s="218"/>
      <c r="I3" s="218"/>
      <c r="J3" s="218"/>
      <c r="K3" s="218"/>
      <c r="L3" s="218"/>
      <c r="M3" s="218"/>
      <c r="N3" s="218"/>
      <c r="O3" s="133"/>
      <c r="P3" s="133"/>
    </row>
    <row r="4" spans="1:16" ht="14.45">
      <c r="A4" s="60"/>
      <c r="B4" s="214"/>
      <c r="C4" s="226"/>
      <c r="D4" s="226"/>
      <c r="E4" s="61"/>
      <c r="F4" s="62"/>
      <c r="G4" s="60"/>
      <c r="H4" s="63"/>
      <c r="I4" s="63"/>
      <c r="J4" s="61"/>
      <c r="K4" s="64"/>
      <c r="L4" s="64"/>
      <c r="M4" s="133"/>
      <c r="N4" s="133"/>
      <c r="O4" s="133"/>
      <c r="P4" s="133"/>
    </row>
    <row r="5" spans="1:16" ht="14.45">
      <c r="A5" s="122"/>
      <c r="B5" s="123"/>
      <c r="C5" s="124"/>
      <c r="D5" s="124"/>
      <c r="E5" s="125"/>
      <c r="F5" s="126"/>
      <c r="G5" s="122"/>
      <c r="H5" s="123"/>
      <c r="I5" s="123"/>
      <c r="J5" s="125"/>
      <c r="K5" s="126"/>
      <c r="L5" s="126"/>
      <c r="M5" s="133"/>
      <c r="N5" s="133"/>
      <c r="O5" s="133"/>
      <c r="P5" s="133"/>
    </row>
    <row r="6" spans="1:16" ht="15">
      <c r="A6" s="227"/>
      <c r="B6" s="127" t="s">
        <v>83</v>
      </c>
      <c r="C6" s="128" t="s">
        <v>84</v>
      </c>
      <c r="D6" s="128"/>
      <c r="E6" s="128"/>
      <c r="F6" s="128"/>
      <c r="G6" s="128"/>
      <c r="H6" s="129"/>
      <c r="I6" s="129"/>
      <c r="J6" s="129"/>
      <c r="K6" s="130"/>
      <c r="L6" s="228"/>
      <c r="M6" s="227"/>
      <c r="N6" s="227"/>
      <c r="O6" s="227"/>
      <c r="P6" s="227"/>
    </row>
    <row r="7" spans="1:16" ht="15">
      <c r="A7" s="227"/>
      <c r="B7" s="127"/>
      <c r="C7" s="128"/>
      <c r="D7" s="128"/>
      <c r="E7" s="128"/>
      <c r="F7" s="128"/>
      <c r="G7" s="128"/>
      <c r="H7" s="129"/>
      <c r="I7" s="129"/>
      <c r="J7" s="129"/>
      <c r="K7" s="130"/>
      <c r="L7" s="228"/>
      <c r="M7" s="227"/>
      <c r="N7" s="227"/>
      <c r="O7" s="227"/>
      <c r="P7" s="227"/>
    </row>
    <row r="9" spans="1:16">
      <c r="A9" s="133"/>
      <c r="B9" s="131" t="s">
        <v>85</v>
      </c>
      <c r="C9" s="254">
        <f>'Sc0-CBA'!C9</f>
        <v>680000000</v>
      </c>
      <c r="D9" s="229" t="s">
        <v>86</v>
      </c>
      <c r="E9" s="133"/>
      <c r="F9" s="132" t="s">
        <v>87</v>
      </c>
      <c r="G9" s="132" t="s">
        <v>88</v>
      </c>
      <c r="H9" s="132" t="s">
        <v>89</v>
      </c>
      <c r="I9" s="132" t="s">
        <v>90</v>
      </c>
      <c r="J9" s="132" t="s">
        <v>91</v>
      </c>
      <c r="K9" s="132" t="s">
        <v>92</v>
      </c>
      <c r="L9" s="132" t="s">
        <v>93</v>
      </c>
      <c r="M9" s="132" t="s">
        <v>94</v>
      </c>
      <c r="N9" s="133"/>
      <c r="O9" s="133"/>
      <c r="P9" s="133"/>
    </row>
    <row r="10" spans="1:16">
      <c r="A10" s="133"/>
      <c r="B10" s="131" t="s">
        <v>95</v>
      </c>
      <c r="C10" s="138">
        <v>13000</v>
      </c>
      <c r="D10" s="229" t="s">
        <v>86</v>
      </c>
      <c r="E10" s="133"/>
      <c r="F10" s="230">
        <v>0</v>
      </c>
      <c r="G10" s="231"/>
      <c r="H10" s="231"/>
      <c r="I10" s="231"/>
      <c r="J10" s="231"/>
      <c r="K10" s="232">
        <f>C9-C12*C13</f>
        <v>680000000</v>
      </c>
      <c r="L10" s="232"/>
      <c r="M10" s="232">
        <f>(H10+J10+L10)-(G10+I10+K10)</f>
        <v>-680000000</v>
      </c>
      <c r="N10" s="133"/>
      <c r="O10" s="233"/>
      <c r="P10" s="133"/>
    </row>
    <row r="11" spans="1:16">
      <c r="A11" s="133"/>
      <c r="B11" s="131" t="s">
        <v>96</v>
      </c>
      <c r="C11" s="234">
        <f>C10*(1-C41)</f>
        <v>13000</v>
      </c>
      <c r="D11" s="229" t="s">
        <v>86</v>
      </c>
      <c r="E11" s="133"/>
      <c r="F11" s="230">
        <v>1</v>
      </c>
      <c r="G11" s="232">
        <f>$C$25</f>
        <v>0</v>
      </c>
      <c r="H11" s="232">
        <f>$C$24</f>
        <v>0</v>
      </c>
      <c r="I11" s="232">
        <v>0</v>
      </c>
      <c r="J11" s="232">
        <f>$C$18*$C$20*$C$13+($C$19*$C$21*$C$13*$C$34+$C$19*$C$22*$C$13*$C$35+$C$19*$C$20*$C$13*$C$36+$C$19*$C$23*$C$13*$C$37)</f>
        <v>15314088.763076928</v>
      </c>
      <c r="K11" s="232"/>
      <c r="L11" s="232"/>
      <c r="M11" s="232">
        <f>(H11+J11+L11)-(G11+I11+K11)</f>
        <v>15314088.763076928</v>
      </c>
      <c r="N11" s="133"/>
      <c r="O11" s="233"/>
      <c r="P11" s="133"/>
    </row>
    <row r="12" spans="1:16">
      <c r="A12" s="133"/>
      <c r="B12" s="131" t="s">
        <v>97</v>
      </c>
      <c r="C12" s="234">
        <v>0</v>
      </c>
      <c r="D12" s="229" t="s">
        <v>86</v>
      </c>
      <c r="E12" s="133"/>
      <c r="F12" s="230">
        <v>2</v>
      </c>
      <c r="G12" s="232">
        <f t="shared" ref="G12:G35" si="0">$C$25</f>
        <v>0</v>
      </c>
      <c r="H12" s="232">
        <f t="shared" ref="H12:H35" si="1">$C$24</f>
        <v>0</v>
      </c>
      <c r="I12" s="232">
        <v>0</v>
      </c>
      <c r="J12" s="232">
        <f t="shared" ref="J12" si="2">$C$18*$C$20*$C$13+($C$19*$C$21*$C$13*$C$34+$C$19*$C$22*$C$13*$C$35+$C$19*$C$20*$C$13*$C$36+$C$19*$C$23*$C$13*$C$37)</f>
        <v>15314088.763076928</v>
      </c>
      <c r="K12" s="232"/>
      <c r="L12" s="232"/>
      <c r="M12" s="232">
        <f t="shared" ref="M12:M35" si="3">(H12+J12+L12)-(G12+I12+K12)</f>
        <v>15314088.763076928</v>
      </c>
      <c r="N12" s="133"/>
      <c r="O12" s="233"/>
      <c r="P12" s="133"/>
    </row>
    <row r="13" spans="1:16">
      <c r="A13" s="133"/>
      <c r="B13" s="131" t="s">
        <v>98</v>
      </c>
      <c r="C13" s="235">
        <f>C9/C11</f>
        <v>52307.692307692305</v>
      </c>
      <c r="D13" s="229" t="s">
        <v>194</v>
      </c>
      <c r="E13" s="133"/>
      <c r="F13" s="230">
        <v>3</v>
      </c>
      <c r="G13" s="232">
        <f t="shared" si="0"/>
        <v>0</v>
      </c>
      <c r="H13" s="232">
        <f t="shared" si="1"/>
        <v>0</v>
      </c>
      <c r="I13" s="232">
        <v>0</v>
      </c>
      <c r="J13" s="232">
        <f>$C$18*$C$20*$C$13+($C$19*C44*$C$13*$C$34+$C$19*C48*$C$13*$C$35+$C$19*$C$20*$C$13*$C$36+$C$19*$C$23*$C$13*$C$37)</f>
        <v>15374213.63830154</v>
      </c>
      <c r="K13" s="232"/>
      <c r="L13" s="232"/>
      <c r="M13" s="232">
        <f t="shared" si="3"/>
        <v>15374213.63830154</v>
      </c>
      <c r="N13" s="133"/>
      <c r="O13" s="233"/>
      <c r="P13" s="133"/>
    </row>
    <row r="14" spans="1:16">
      <c r="A14" s="133"/>
      <c r="B14" s="131" t="s">
        <v>100</v>
      </c>
      <c r="C14" s="264">
        <f>'Sc0-CBA'!C14</f>
        <v>104</v>
      </c>
      <c r="D14" s="229" t="s">
        <v>101</v>
      </c>
      <c r="E14" s="133"/>
      <c r="F14" s="230">
        <v>4</v>
      </c>
      <c r="G14" s="232">
        <f t="shared" si="0"/>
        <v>0</v>
      </c>
      <c r="H14" s="232">
        <f t="shared" si="1"/>
        <v>0</v>
      </c>
      <c r="I14" s="232">
        <v>0</v>
      </c>
      <c r="J14" s="232">
        <f>$C$18*$C$20*$C$13+($C$19*C45*$C$13*$C$34+$C$19*C49*$C$13*$C$35+$C$19*$C$20*$C$13*$C$36+$C$19*$C$23*$C$13*$C$37)</f>
        <v>15722335.139840003</v>
      </c>
      <c r="K14" s="232"/>
      <c r="L14" s="232"/>
      <c r="M14" s="232">
        <f t="shared" si="3"/>
        <v>15722335.139840003</v>
      </c>
      <c r="N14" s="133"/>
      <c r="O14" s="233"/>
      <c r="P14" s="133"/>
    </row>
    <row r="15" spans="1:16">
      <c r="A15" s="133"/>
      <c r="B15" s="131" t="s">
        <v>102</v>
      </c>
      <c r="C15" s="234">
        <f>'Sc0-CBA'!C15</f>
        <v>4070</v>
      </c>
      <c r="D15" s="229" t="s">
        <v>101</v>
      </c>
      <c r="E15" s="133"/>
      <c r="F15" s="230">
        <v>5</v>
      </c>
      <c r="G15" s="232">
        <f t="shared" si="0"/>
        <v>0</v>
      </c>
      <c r="H15" s="232">
        <f t="shared" si="1"/>
        <v>0</v>
      </c>
      <c r="I15" s="232">
        <v>0</v>
      </c>
      <c r="J15" s="232">
        <f>$C$18*$C$20*$C$13+($C$19*C46*$C$13*$C$34+$C$19*C50*$C$13*$C$35+$C$19*$C$20*$C$13*$C$36+$C$19*$C$23*$C$13*$C$37)</f>
        <v>15803404.530609235</v>
      </c>
      <c r="K15" s="232"/>
      <c r="L15" s="232"/>
      <c r="M15" s="232">
        <f t="shared" si="3"/>
        <v>15803404.530609235</v>
      </c>
      <c r="N15" s="133"/>
      <c r="O15" s="233"/>
      <c r="P15" s="133"/>
    </row>
    <row r="16" spans="1:16">
      <c r="A16" s="133"/>
      <c r="B16" s="103" t="s">
        <v>125</v>
      </c>
      <c r="C16" s="139">
        <v>0.56000000000000005</v>
      </c>
      <c r="D16" s="229" t="s">
        <v>104</v>
      </c>
      <c r="E16" s="133"/>
      <c r="F16" s="230">
        <v>6</v>
      </c>
      <c r="G16" s="232">
        <f t="shared" si="0"/>
        <v>0</v>
      </c>
      <c r="H16" s="232">
        <f t="shared" si="1"/>
        <v>0</v>
      </c>
      <c r="I16" s="232">
        <v>0</v>
      </c>
      <c r="J16" s="232">
        <f t="shared" ref="J16:J35" si="4">$C$18*$C$20*$C$13+($C$19*$C$47*$C$13*$C$34+$C$19*$C$51*$C$13*$C$35+$C$19*$C$20*$C$13*$C$36+$C$19*$C$23*$C$13*$C$37)</f>
        <v>15884473.921378464</v>
      </c>
      <c r="K16" s="232"/>
      <c r="L16" s="232"/>
      <c r="M16" s="232">
        <f t="shared" si="3"/>
        <v>15884473.921378464</v>
      </c>
      <c r="N16" s="133"/>
      <c r="O16" s="233"/>
      <c r="P16" s="133"/>
    </row>
    <row r="17" spans="2:15">
      <c r="B17" s="131" t="s">
        <v>127</v>
      </c>
      <c r="C17" s="139">
        <v>0.56000000000000005</v>
      </c>
      <c r="D17" s="229" t="s">
        <v>104</v>
      </c>
      <c r="E17" s="133"/>
      <c r="F17" s="230">
        <v>7</v>
      </c>
      <c r="G17" s="232">
        <f t="shared" si="0"/>
        <v>0</v>
      </c>
      <c r="H17" s="232">
        <f t="shared" si="1"/>
        <v>0</v>
      </c>
      <c r="I17" s="232">
        <v>0</v>
      </c>
      <c r="J17" s="232">
        <f t="shared" si="4"/>
        <v>15884473.921378464</v>
      </c>
      <c r="K17" s="232"/>
      <c r="L17" s="232"/>
      <c r="M17" s="232">
        <f t="shared" si="3"/>
        <v>15884473.921378464</v>
      </c>
      <c r="N17" s="133"/>
      <c r="O17" s="233"/>
    </row>
    <row r="18" spans="2:15">
      <c r="B18" s="103" t="s">
        <v>154</v>
      </c>
      <c r="C18" s="234">
        <f>C14*C16</f>
        <v>58.240000000000009</v>
      </c>
      <c r="D18" s="229" t="s">
        <v>101</v>
      </c>
      <c r="E18" s="133"/>
      <c r="F18" s="230">
        <v>8</v>
      </c>
      <c r="G18" s="232">
        <f t="shared" si="0"/>
        <v>0</v>
      </c>
      <c r="H18" s="232">
        <f t="shared" si="1"/>
        <v>0</v>
      </c>
      <c r="I18" s="232">
        <v>0</v>
      </c>
      <c r="J18" s="232">
        <f t="shared" si="4"/>
        <v>15884473.921378464</v>
      </c>
      <c r="K18" s="232"/>
      <c r="L18" s="232"/>
      <c r="M18" s="232">
        <f t="shared" si="3"/>
        <v>15884473.921378464</v>
      </c>
      <c r="N18" s="133"/>
      <c r="O18" s="233"/>
    </row>
    <row r="19" spans="2:15">
      <c r="B19" s="131" t="s">
        <v>155</v>
      </c>
      <c r="C19" s="234">
        <f>C15*C17</f>
        <v>2279.2000000000003</v>
      </c>
      <c r="D19" s="229" t="s">
        <v>101</v>
      </c>
      <c r="E19" s="133"/>
      <c r="F19" s="230">
        <v>9</v>
      </c>
      <c r="G19" s="232">
        <f t="shared" si="0"/>
        <v>0</v>
      </c>
      <c r="H19" s="232">
        <f t="shared" si="1"/>
        <v>0</v>
      </c>
      <c r="I19" s="232">
        <v>0</v>
      </c>
      <c r="J19" s="232">
        <f t="shared" si="4"/>
        <v>15884473.921378464</v>
      </c>
      <c r="K19" s="232"/>
      <c r="L19" s="232"/>
      <c r="M19" s="232">
        <f t="shared" si="3"/>
        <v>15884473.921378464</v>
      </c>
      <c r="N19" s="133"/>
      <c r="O19" s="233"/>
    </row>
    <row r="20" spans="2:15">
      <c r="B20" s="103" t="s">
        <v>113</v>
      </c>
      <c r="C20" s="237">
        <f>'Energy prices'!$C$6/1000</f>
        <v>0.24</v>
      </c>
      <c r="D20" s="229" t="s">
        <v>114</v>
      </c>
      <c r="E20" s="133"/>
      <c r="F20" s="230">
        <v>10</v>
      </c>
      <c r="G20" s="232">
        <f t="shared" si="0"/>
        <v>0</v>
      </c>
      <c r="H20" s="232">
        <f t="shared" si="1"/>
        <v>0</v>
      </c>
      <c r="I20" s="232">
        <v>0</v>
      </c>
      <c r="J20" s="232">
        <f t="shared" si="4"/>
        <v>15884473.921378464</v>
      </c>
      <c r="K20" s="232"/>
      <c r="L20" s="232"/>
      <c r="M20" s="232">
        <f t="shared" si="3"/>
        <v>15884473.921378464</v>
      </c>
      <c r="N20" s="133"/>
      <c r="O20" s="233"/>
    </row>
    <row r="21" spans="2:15">
      <c r="B21" s="103" t="str">
        <f>'Sc0-CBA'!B26</f>
        <v>Natural gas price</v>
      </c>
      <c r="C21" s="237">
        <f>'Sc0-CBA'!C26</f>
        <v>0.114</v>
      </c>
      <c r="D21" s="229" t="s">
        <v>114</v>
      </c>
      <c r="E21" s="133"/>
      <c r="F21" s="230">
        <v>11</v>
      </c>
      <c r="G21" s="232">
        <f t="shared" si="0"/>
        <v>0</v>
      </c>
      <c r="H21" s="232">
        <f t="shared" si="1"/>
        <v>0</v>
      </c>
      <c r="I21" s="232">
        <v>0</v>
      </c>
      <c r="J21" s="232">
        <f t="shared" si="4"/>
        <v>15884473.921378464</v>
      </c>
      <c r="K21" s="232"/>
      <c r="L21" s="232"/>
      <c r="M21" s="232">
        <f t="shared" si="3"/>
        <v>15884473.921378464</v>
      </c>
      <c r="N21" s="133"/>
      <c r="O21" s="233"/>
    </row>
    <row r="22" spans="2:15">
      <c r="B22" s="103" t="str">
        <f>'Sc0-CBA'!B27</f>
        <v>Petroleum price</v>
      </c>
      <c r="C22" s="237">
        <f>'Energy prices'!C7/1000</f>
        <v>0.11</v>
      </c>
      <c r="D22" s="229" t="s">
        <v>114</v>
      </c>
      <c r="E22" s="133"/>
      <c r="F22" s="230">
        <v>12</v>
      </c>
      <c r="G22" s="232">
        <f t="shared" si="0"/>
        <v>0</v>
      </c>
      <c r="H22" s="232">
        <f t="shared" si="1"/>
        <v>0</v>
      </c>
      <c r="I22" s="232">
        <v>0</v>
      </c>
      <c r="J22" s="232">
        <f t="shared" si="4"/>
        <v>15884473.921378464</v>
      </c>
      <c r="K22" s="232"/>
      <c r="L22" s="232"/>
      <c r="M22" s="232">
        <f t="shared" si="3"/>
        <v>15884473.921378464</v>
      </c>
      <c r="N22" s="133"/>
      <c r="O22" s="233"/>
    </row>
    <row r="23" spans="2:15">
      <c r="B23" s="103" t="s">
        <v>122</v>
      </c>
      <c r="C23" s="237">
        <f>'Energy prices'!C10/1000</f>
        <v>1.7000000000000001E-2</v>
      </c>
      <c r="D23" s="229" t="s">
        <v>114</v>
      </c>
      <c r="E23" s="133"/>
      <c r="F23" s="230">
        <v>13</v>
      </c>
      <c r="G23" s="232">
        <f t="shared" si="0"/>
        <v>0</v>
      </c>
      <c r="H23" s="232">
        <f t="shared" si="1"/>
        <v>0</v>
      </c>
      <c r="I23" s="232">
        <v>0</v>
      </c>
      <c r="J23" s="232">
        <f t="shared" si="4"/>
        <v>15884473.921378464</v>
      </c>
      <c r="K23" s="232"/>
      <c r="L23" s="232"/>
      <c r="M23" s="232">
        <f t="shared" si="3"/>
        <v>15884473.921378464</v>
      </c>
      <c r="N23" s="133"/>
      <c r="O23" s="233"/>
    </row>
    <row r="24" spans="2:15">
      <c r="B24" s="131" t="s">
        <v>118</v>
      </c>
      <c r="C24" s="234">
        <v>0</v>
      </c>
      <c r="D24" s="229" t="s">
        <v>86</v>
      </c>
      <c r="E24" s="133"/>
      <c r="F24" s="230">
        <v>14</v>
      </c>
      <c r="G24" s="232">
        <f t="shared" si="0"/>
        <v>0</v>
      </c>
      <c r="H24" s="232">
        <f t="shared" si="1"/>
        <v>0</v>
      </c>
      <c r="I24" s="232">
        <v>0</v>
      </c>
      <c r="J24" s="232">
        <f t="shared" si="4"/>
        <v>15884473.921378464</v>
      </c>
      <c r="K24" s="232"/>
      <c r="L24" s="232"/>
      <c r="M24" s="232">
        <f t="shared" si="3"/>
        <v>15884473.921378464</v>
      </c>
      <c r="N24" s="133"/>
      <c r="O24" s="233"/>
    </row>
    <row r="25" spans="2:15" ht="27.95">
      <c r="B25" s="103" t="s">
        <v>119</v>
      </c>
      <c r="C25" s="234">
        <v>0</v>
      </c>
      <c r="D25" s="229" t="s">
        <v>86</v>
      </c>
      <c r="E25" s="133"/>
      <c r="F25" s="230">
        <v>15</v>
      </c>
      <c r="G25" s="232">
        <f t="shared" si="0"/>
        <v>0</v>
      </c>
      <c r="H25" s="232">
        <f t="shared" si="1"/>
        <v>0</v>
      </c>
      <c r="I25" s="232">
        <v>0</v>
      </c>
      <c r="J25" s="232">
        <f t="shared" si="4"/>
        <v>15884473.921378464</v>
      </c>
      <c r="K25" s="232"/>
      <c r="L25" s="232"/>
      <c r="M25" s="232">
        <f t="shared" si="3"/>
        <v>15884473.921378464</v>
      </c>
      <c r="N25" s="133"/>
      <c r="O25" s="233"/>
    </row>
    <row r="26" spans="2:15">
      <c r="B26" s="103" t="s">
        <v>93</v>
      </c>
      <c r="C26" s="241">
        <v>0.1</v>
      </c>
      <c r="D26" s="229" t="s">
        <v>195</v>
      </c>
      <c r="E26" s="133"/>
      <c r="F26" s="230">
        <v>16</v>
      </c>
      <c r="G26" s="232">
        <f t="shared" si="0"/>
        <v>0</v>
      </c>
      <c r="H26" s="232">
        <f t="shared" si="1"/>
        <v>0</v>
      </c>
      <c r="I26" s="232">
        <v>0</v>
      </c>
      <c r="J26" s="232">
        <f t="shared" si="4"/>
        <v>15884473.921378464</v>
      </c>
      <c r="K26" s="232"/>
      <c r="L26" s="232"/>
      <c r="M26" s="232">
        <f t="shared" si="3"/>
        <v>15884473.921378464</v>
      </c>
      <c r="N26" s="233"/>
      <c r="O26" s="233"/>
    </row>
    <row r="27" spans="2:15">
      <c r="B27" s="131" t="s">
        <v>121</v>
      </c>
      <c r="C27" s="239">
        <v>0.03</v>
      </c>
      <c r="D27" s="229" t="s">
        <v>104</v>
      </c>
      <c r="E27" s="133"/>
      <c r="F27" s="230">
        <v>17</v>
      </c>
      <c r="G27" s="232">
        <f t="shared" si="0"/>
        <v>0</v>
      </c>
      <c r="H27" s="232">
        <f t="shared" si="1"/>
        <v>0</v>
      </c>
      <c r="I27" s="231">
        <v>0</v>
      </c>
      <c r="J27" s="232">
        <f t="shared" si="4"/>
        <v>15884473.921378464</v>
      </c>
      <c r="K27" s="231"/>
      <c r="L27" s="231"/>
      <c r="M27" s="232">
        <f t="shared" si="3"/>
        <v>15884473.921378464</v>
      </c>
      <c r="N27" s="133"/>
      <c r="O27" s="133"/>
    </row>
    <row r="28" spans="2:15">
      <c r="B28" s="133"/>
      <c r="C28" s="249"/>
      <c r="D28" s="133"/>
      <c r="E28" s="133"/>
      <c r="F28" s="230">
        <v>18</v>
      </c>
      <c r="G28" s="232">
        <f t="shared" si="0"/>
        <v>0</v>
      </c>
      <c r="H28" s="232">
        <f t="shared" si="1"/>
        <v>0</v>
      </c>
      <c r="I28" s="231">
        <v>0</v>
      </c>
      <c r="J28" s="232">
        <f t="shared" si="4"/>
        <v>15884473.921378464</v>
      </c>
      <c r="K28" s="231"/>
      <c r="L28" s="231"/>
      <c r="M28" s="232">
        <f t="shared" si="3"/>
        <v>15884473.921378464</v>
      </c>
      <c r="N28" s="133"/>
      <c r="O28" s="133"/>
    </row>
    <row r="29" spans="2:15">
      <c r="B29" s="135" t="s">
        <v>133</v>
      </c>
      <c r="C29" s="100">
        <f>NPV(C27,M11:M35)+M10</f>
        <v>-405173674.14212042</v>
      </c>
      <c r="D29" s="133"/>
      <c r="E29" s="133"/>
      <c r="F29" s="230">
        <v>19</v>
      </c>
      <c r="G29" s="232">
        <f t="shared" si="0"/>
        <v>0</v>
      </c>
      <c r="H29" s="232">
        <f t="shared" si="1"/>
        <v>0</v>
      </c>
      <c r="I29" s="231">
        <v>0</v>
      </c>
      <c r="J29" s="232">
        <f t="shared" si="4"/>
        <v>15884473.921378464</v>
      </c>
      <c r="K29" s="231"/>
      <c r="L29" s="231"/>
      <c r="M29" s="232">
        <f t="shared" si="3"/>
        <v>15884473.921378464</v>
      </c>
      <c r="N29" s="133"/>
      <c r="O29" s="133"/>
    </row>
    <row r="30" spans="2:15">
      <c r="B30" s="135" t="s">
        <v>134</v>
      </c>
      <c r="C30" s="101">
        <f>IRR(M10:M35)</f>
        <v>-3.7907653129466201E-2</v>
      </c>
      <c r="D30" s="133"/>
      <c r="E30" s="133"/>
      <c r="F30" s="230">
        <v>20</v>
      </c>
      <c r="G30" s="232">
        <f t="shared" si="0"/>
        <v>0</v>
      </c>
      <c r="H30" s="232">
        <f t="shared" si="1"/>
        <v>0</v>
      </c>
      <c r="I30" s="231">
        <v>0</v>
      </c>
      <c r="J30" s="232">
        <f t="shared" si="4"/>
        <v>15884473.921378464</v>
      </c>
      <c r="K30" s="231"/>
      <c r="L30" s="231"/>
      <c r="M30" s="232">
        <f t="shared" si="3"/>
        <v>15884473.921378464</v>
      </c>
      <c r="N30" s="133"/>
      <c r="O30" s="133"/>
    </row>
    <row r="31" spans="2:15">
      <c r="B31" s="135" t="s">
        <v>135</v>
      </c>
      <c r="C31" s="102">
        <f>(H36+J36+L36)/(G36+I36+K36)</f>
        <v>0.40415636155570528</v>
      </c>
      <c r="D31" s="133"/>
      <c r="E31" s="133"/>
      <c r="F31" s="230">
        <v>21</v>
      </c>
      <c r="G31" s="232">
        <f t="shared" si="0"/>
        <v>0</v>
      </c>
      <c r="H31" s="232">
        <f t="shared" si="1"/>
        <v>0</v>
      </c>
      <c r="I31" s="231">
        <v>0</v>
      </c>
      <c r="J31" s="232">
        <f t="shared" si="4"/>
        <v>15884473.921378464</v>
      </c>
      <c r="K31" s="231"/>
      <c r="L31" s="231"/>
      <c r="M31" s="232">
        <f t="shared" si="3"/>
        <v>15884473.921378464</v>
      </c>
      <c r="N31" s="133"/>
      <c r="O31" s="133"/>
    </row>
    <row r="32" spans="2:15">
      <c r="B32" s="153"/>
      <c r="C32" s="118"/>
      <c r="D32" s="133"/>
      <c r="E32" s="133"/>
      <c r="F32" s="230">
        <v>22</v>
      </c>
      <c r="G32" s="232">
        <f t="shared" si="0"/>
        <v>0</v>
      </c>
      <c r="H32" s="232">
        <f t="shared" si="1"/>
        <v>0</v>
      </c>
      <c r="I32" s="231">
        <v>0</v>
      </c>
      <c r="J32" s="232">
        <f t="shared" si="4"/>
        <v>15884473.921378464</v>
      </c>
      <c r="K32" s="231"/>
      <c r="L32" s="231"/>
      <c r="M32" s="232">
        <f t="shared" si="3"/>
        <v>15884473.921378464</v>
      </c>
      <c r="N32" s="133"/>
      <c r="O32" s="133"/>
    </row>
    <row r="33" spans="2:13">
      <c r="B33" s="104" t="str">
        <f>'Sc0-CBA'!G32</f>
        <v>Fuel share per households in the region</v>
      </c>
      <c r="C33" s="265"/>
      <c r="D33" s="133"/>
      <c r="E33" s="133"/>
      <c r="F33" s="230">
        <v>23</v>
      </c>
      <c r="G33" s="232">
        <f t="shared" si="0"/>
        <v>0</v>
      </c>
      <c r="H33" s="232">
        <f t="shared" si="1"/>
        <v>0</v>
      </c>
      <c r="I33" s="231">
        <v>0</v>
      </c>
      <c r="J33" s="232">
        <f t="shared" si="4"/>
        <v>15884473.921378464</v>
      </c>
      <c r="K33" s="231"/>
      <c r="L33" s="231"/>
      <c r="M33" s="232">
        <f t="shared" si="3"/>
        <v>15884473.921378464</v>
      </c>
    </row>
    <row r="34" spans="2:13">
      <c r="B34" s="244" t="str">
        <f>'Sc0-CBA'!G33</f>
        <v>Natural gas</v>
      </c>
      <c r="C34" s="247">
        <f>'Sc0-CBA'!H33</f>
        <v>0.48</v>
      </c>
      <c r="D34" s="133"/>
      <c r="E34" s="133"/>
      <c r="F34" s="230">
        <v>24</v>
      </c>
      <c r="G34" s="232">
        <f t="shared" si="0"/>
        <v>0</v>
      </c>
      <c r="H34" s="232">
        <f t="shared" si="1"/>
        <v>0</v>
      </c>
      <c r="I34" s="231">
        <v>0</v>
      </c>
      <c r="J34" s="232">
        <f t="shared" si="4"/>
        <v>15884473.921378464</v>
      </c>
      <c r="K34" s="231"/>
      <c r="L34" s="231"/>
      <c r="M34" s="232">
        <f t="shared" si="3"/>
        <v>15884473.921378464</v>
      </c>
    </row>
    <row r="35" spans="2:13">
      <c r="B35" s="244" t="str">
        <f>'Sc0-CBA'!G34</f>
        <v>Petroleum derivatives</v>
      </c>
      <c r="C35" s="247">
        <f>'Sc0-CBA'!H34</f>
        <v>0.2</v>
      </c>
      <c r="D35" s="133"/>
      <c r="E35" s="133"/>
      <c r="F35" s="230">
        <v>25</v>
      </c>
      <c r="G35" s="232">
        <f t="shared" si="0"/>
        <v>0</v>
      </c>
      <c r="H35" s="232">
        <f t="shared" si="1"/>
        <v>0</v>
      </c>
      <c r="I35" s="231">
        <v>0</v>
      </c>
      <c r="J35" s="232">
        <f t="shared" si="4"/>
        <v>15884473.921378464</v>
      </c>
      <c r="K35" s="231"/>
      <c r="L35" s="231"/>
      <c r="M35" s="232">
        <f t="shared" si="3"/>
        <v>15884473.921378464</v>
      </c>
    </row>
    <row r="36" spans="2:13">
      <c r="B36" s="246" t="s">
        <v>128</v>
      </c>
      <c r="C36" s="247">
        <f>'Sc0-CBA'!H35</f>
        <v>0.19</v>
      </c>
      <c r="D36" s="133"/>
      <c r="E36" s="133"/>
      <c r="F36" s="134" t="s">
        <v>116</v>
      </c>
      <c r="G36" s="98">
        <f>NPV($C$27,G11:G35)+G10</f>
        <v>0</v>
      </c>
      <c r="H36" s="98">
        <f t="shared" ref="H36:M36" si="5">NPV($C$27,H11:H35)+H10</f>
        <v>0</v>
      </c>
      <c r="I36" s="98">
        <f t="shared" si="5"/>
        <v>0</v>
      </c>
      <c r="J36" s="98">
        <f t="shared" si="5"/>
        <v>274826325.85787958</v>
      </c>
      <c r="K36" s="98">
        <f t="shared" si="5"/>
        <v>680000000</v>
      </c>
      <c r="L36" s="98">
        <f t="shared" si="5"/>
        <v>0</v>
      </c>
      <c r="M36" s="98">
        <f t="shared" si="5"/>
        <v>-405173674.14212042</v>
      </c>
    </row>
    <row r="37" spans="2:13">
      <c r="B37" s="246" t="s">
        <v>78</v>
      </c>
      <c r="C37" s="247">
        <f>'Sc0-CBA'!H36</f>
        <v>0</v>
      </c>
      <c r="D37" s="133"/>
      <c r="E37" s="133"/>
      <c r="F37" s="133"/>
      <c r="G37" s="133"/>
      <c r="H37" s="233"/>
      <c r="I37" s="133"/>
      <c r="J37" s="133"/>
      <c r="K37" s="133"/>
      <c r="L37" s="133"/>
      <c r="M37" s="133"/>
    </row>
    <row r="38" spans="2:13">
      <c r="B38" s="246" t="s">
        <v>81</v>
      </c>
      <c r="C38" s="247">
        <f>'Sc0-CBA'!H37</f>
        <v>0.12</v>
      </c>
      <c r="D38" s="133"/>
      <c r="E38" s="133"/>
      <c r="F38" s="133"/>
      <c r="G38" s="133"/>
      <c r="H38" s="233"/>
      <c r="I38" s="133"/>
      <c r="J38" s="133"/>
      <c r="K38" s="133"/>
      <c r="L38" s="133"/>
      <c r="M38" s="133"/>
    </row>
    <row r="39" spans="2:13">
      <c r="B39" s="246" t="s">
        <v>116</v>
      </c>
      <c r="C39" s="247">
        <f>SUM(C34:C38)</f>
        <v>0.98999999999999988</v>
      </c>
      <c r="D39" s="133"/>
      <c r="E39" s="133"/>
      <c r="F39" s="133"/>
      <c r="G39" s="133"/>
      <c r="H39" s="133"/>
      <c r="I39" s="133"/>
      <c r="J39" s="133"/>
      <c r="K39" s="133"/>
      <c r="L39" s="133"/>
      <c r="M39" s="133"/>
    </row>
    <row r="40" spans="2:13">
      <c r="B40" s="133"/>
      <c r="C40" s="266"/>
      <c r="D40" s="133"/>
      <c r="E40" s="133"/>
      <c r="F40" s="133"/>
      <c r="G40" s="133"/>
      <c r="H40" s="133"/>
      <c r="I40" s="133"/>
      <c r="J40" s="133"/>
      <c r="K40" s="133"/>
      <c r="L40" s="133"/>
      <c r="M40" s="133"/>
    </row>
    <row r="41" spans="2:13">
      <c r="B41" s="131" t="s">
        <v>136</v>
      </c>
      <c r="C41" s="139">
        <v>0</v>
      </c>
      <c r="D41" s="229" t="s">
        <v>104</v>
      </c>
      <c r="E41" s="133"/>
      <c r="F41" s="133"/>
      <c r="G41" s="133"/>
      <c r="H41" s="133"/>
      <c r="I41" s="133"/>
      <c r="J41" s="133"/>
      <c r="K41" s="133"/>
      <c r="L41" s="133"/>
      <c r="M41" s="133"/>
    </row>
    <row r="42" spans="2:13">
      <c r="B42" s="133"/>
      <c r="C42" s="233"/>
      <c r="D42" s="133"/>
      <c r="E42" s="133"/>
      <c r="F42" s="133"/>
      <c r="G42" s="133"/>
      <c r="H42" s="133"/>
      <c r="I42" s="133"/>
      <c r="J42" s="133"/>
      <c r="K42" s="133"/>
      <c r="L42" s="133"/>
      <c r="M42" s="133"/>
    </row>
    <row r="43" spans="2:13" hidden="1">
      <c r="B43" s="137" t="s">
        <v>137</v>
      </c>
      <c r="C43" s="233">
        <v>1</v>
      </c>
      <c r="D43" s="133" t="s">
        <v>138</v>
      </c>
      <c r="E43" s="133"/>
      <c r="F43" s="133"/>
      <c r="G43" s="133"/>
      <c r="H43" s="133"/>
      <c r="I43" s="133"/>
      <c r="J43" s="133"/>
      <c r="K43" s="133"/>
      <c r="L43" s="133"/>
      <c r="M43" s="133"/>
    </row>
    <row r="44" spans="2:13" hidden="1">
      <c r="B44" s="133" t="s">
        <v>139</v>
      </c>
      <c r="C44" s="250">
        <f>IF(C43=1,C21*(1+D44),C21)</f>
        <v>0.11468400000000001</v>
      </c>
      <c r="D44" s="251">
        <v>6.0000000000000001E-3</v>
      </c>
      <c r="E44" s="133"/>
      <c r="F44" s="133"/>
      <c r="G44" s="133"/>
      <c r="H44" s="133"/>
      <c r="I44" s="133"/>
      <c r="J44" s="133"/>
      <c r="K44" s="133"/>
      <c r="L44" s="133"/>
      <c r="M44" s="133"/>
    </row>
    <row r="45" spans="2:13" hidden="1">
      <c r="B45" s="133" t="s">
        <v>140</v>
      </c>
      <c r="C45" s="252">
        <f>IF(C43=1,C44+D45,C21)</f>
        <v>0.11868400000000001</v>
      </c>
      <c r="D45" s="251">
        <v>4.0000000000000001E-3</v>
      </c>
      <c r="E45" s="133"/>
      <c r="F45" s="133"/>
      <c r="G45" s="133"/>
      <c r="H45" s="133"/>
      <c r="I45" s="133"/>
      <c r="J45" s="133"/>
      <c r="K45" s="133"/>
      <c r="L45" s="133"/>
      <c r="M45" s="133"/>
    </row>
    <row r="46" spans="2:13" hidden="1">
      <c r="B46" s="133" t="s">
        <v>141</v>
      </c>
      <c r="C46" s="252">
        <f>IF(C43=1,C45+D46,C21)</f>
        <v>0.11968400000000001</v>
      </c>
      <c r="D46" s="251">
        <v>1E-3</v>
      </c>
      <c r="E46" s="133"/>
      <c r="F46" s="133"/>
      <c r="G46" s="133"/>
      <c r="H46" s="133"/>
      <c r="I46" s="133"/>
      <c r="J46" s="133"/>
      <c r="K46" s="133"/>
      <c r="L46" s="133"/>
      <c r="M46" s="133"/>
    </row>
    <row r="47" spans="2:13" hidden="1">
      <c r="B47" s="133" t="s">
        <v>142</v>
      </c>
      <c r="C47" s="252">
        <f>IF(C43=1,C46+D47,C21)</f>
        <v>0.12068400000000001</v>
      </c>
      <c r="D47" s="251">
        <v>1E-3</v>
      </c>
      <c r="E47" s="133"/>
      <c r="F47" s="133"/>
      <c r="G47" s="133"/>
      <c r="H47" s="133"/>
      <c r="I47" s="133"/>
      <c r="J47" s="133"/>
      <c r="K47" s="133"/>
      <c r="L47" s="133"/>
      <c r="M47" s="133"/>
    </row>
    <row r="48" spans="2:13" hidden="1">
      <c r="B48" s="233" t="str">
        <f>'Sc0-CBA'!B54</f>
        <v>Petroleum price ETS 2 Year 3</v>
      </c>
      <c r="C48" s="253">
        <f>IF(C43=1,C22*(1+D48),C22)</f>
        <v>0.11088000000000001</v>
      </c>
      <c r="D48" s="251">
        <v>8.0000000000000002E-3</v>
      </c>
      <c r="E48" s="133"/>
      <c r="F48" s="133"/>
      <c r="G48" s="133"/>
      <c r="H48" s="133"/>
      <c r="I48" s="133"/>
      <c r="J48" s="133"/>
      <c r="K48" s="133"/>
      <c r="L48" s="133"/>
      <c r="M48" s="133"/>
    </row>
    <row r="49" spans="2:4" hidden="1">
      <c r="B49" s="233" t="str">
        <f>'Sc0-CBA'!B55</f>
        <v>Petroleum price ETS 2 Year 4</v>
      </c>
      <c r="C49" s="253">
        <f>IF($C$43=1,C48+D49,C22)</f>
        <v>0.11588000000000001</v>
      </c>
      <c r="D49" s="251">
        <v>5.0000000000000001E-3</v>
      </c>
    </row>
    <row r="50" spans="2:4" hidden="1">
      <c r="B50" s="233" t="str">
        <f>'Sc0-CBA'!B56</f>
        <v>Petroleum price ETS 2 Year 5</v>
      </c>
      <c r="C50" s="253">
        <f>IF($C$43=1,C49+D50,C22)</f>
        <v>0.11688000000000001</v>
      </c>
      <c r="D50" s="251">
        <v>1E-3</v>
      </c>
    </row>
    <row r="51" spans="2:4" hidden="1">
      <c r="B51" s="233" t="str">
        <f>'Sc0-CBA'!B57</f>
        <v>Petroleum price ETS 2 Year 6</v>
      </c>
      <c r="C51" s="253">
        <f>IF($C$43=1,C50+D51,C22)</f>
        <v>0.11788000000000001</v>
      </c>
      <c r="D51" s="251">
        <v>1E-3</v>
      </c>
    </row>
    <row r="52" spans="2:4">
      <c r="B52" s="133"/>
      <c r="C52" s="248"/>
      <c r="D52" s="133"/>
    </row>
    <row r="53" spans="2:4">
      <c r="B53" s="133"/>
      <c r="C53" s="248"/>
      <c r="D53" s="133"/>
    </row>
    <row r="54" spans="2:4">
      <c r="B54" s="133"/>
      <c r="C54" s="248"/>
      <c r="D54" s="133"/>
    </row>
    <row r="55" spans="2:4">
      <c r="B55" s="133"/>
      <c r="C55" s="248"/>
      <c r="D55" s="133"/>
    </row>
    <row r="56" spans="2:4">
      <c r="B56" s="133"/>
      <c r="C56" s="248"/>
      <c r="D56" s="133"/>
    </row>
    <row r="57" spans="2:4">
      <c r="B57" s="133"/>
      <c r="C57" s="248"/>
      <c r="D57" s="133"/>
    </row>
    <row r="58" spans="2:4">
      <c r="B58" s="133"/>
      <c r="C58" s="248"/>
      <c r="D58" s="133"/>
    </row>
    <row r="59" spans="2:4">
      <c r="B59" s="133"/>
      <c r="C59" s="248"/>
      <c r="D59" s="133"/>
    </row>
    <row r="60" spans="2:4">
      <c r="B60" s="133"/>
      <c r="C60" s="248"/>
      <c r="D60" s="133"/>
    </row>
    <row r="61" spans="2:4">
      <c r="B61" s="133"/>
      <c r="C61" s="248"/>
      <c r="D61" s="133"/>
    </row>
    <row r="62" spans="2:4">
      <c r="B62" s="133"/>
      <c r="C62" s="248"/>
      <c r="D62" s="133"/>
    </row>
    <row r="63" spans="2:4">
      <c r="B63" s="133"/>
      <c r="C63" s="248"/>
      <c r="D63" s="133"/>
    </row>
    <row r="67" spans="3:3">
      <c r="C67" s="248"/>
    </row>
    <row r="68" spans="3:3">
      <c r="C68" s="248"/>
    </row>
    <row r="69" spans="3:3">
      <c r="C69" s="248"/>
    </row>
    <row r="70" spans="3:3">
      <c r="C70" s="248"/>
    </row>
    <row r="80" spans="3:3">
      <c r="C80" s="248"/>
    </row>
  </sheetData>
  <sheetProtection algorithmName="SHA-512" hashValue="k2iTys+oqA1IvGySzZ1edyNt9W0BHqhen37GE5QFOk1N7dBCzLnw3F+tKbNIf9N50fOPfJUE4/pZgPWJMIdFCA==" saltValue="dQZNF69p0HHKSs6nZtPNyg==" spinCount="100000" sheet="1" objects="1" scenarios="1" selectLockedCells="1"/>
  <mergeCells count="2">
    <mergeCell ref="C1:N3"/>
    <mergeCell ref="B4:D4"/>
  </mergeCells>
  <pageMargins left="0.7" right="0.7" top="0.75" bottom="0.75" header="0.3" footer="0.3"/>
  <pageSetup orientation="portrait" horizontalDpi="4294967293" verticalDpi="4294967293"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672F6-4D06-4411-83A6-D24A746F817A}">
  <sheetPr>
    <tabColor theme="8" tint="-0.499984740745262"/>
  </sheetPr>
  <dimension ref="A1:P82"/>
  <sheetViews>
    <sheetView topLeftCell="A6" zoomScale="70" zoomScaleNormal="70" workbookViewId="0">
      <selection activeCell="C9" sqref="C9"/>
    </sheetView>
  </sheetViews>
  <sheetFormatPr defaultColWidth="0" defaultRowHeight="14.1"/>
  <cols>
    <col min="1" max="1" width="3.5703125" style="121" customWidth="1"/>
    <col min="2" max="2" width="55.85546875" style="121" customWidth="1"/>
    <col min="3" max="3" width="20.5703125" style="136" customWidth="1"/>
    <col min="4" max="4" width="20.42578125" style="121" customWidth="1"/>
    <col min="5" max="6" width="8.85546875" style="121" customWidth="1"/>
    <col min="7" max="8" width="12" style="121" bestFit="1" customWidth="1"/>
    <col min="9" max="9" width="16.5703125" style="121" bestFit="1" customWidth="1"/>
    <col min="10" max="10" width="17" style="121" bestFit="1" customWidth="1"/>
    <col min="11" max="12" width="17.42578125" style="121" bestFit="1" customWidth="1"/>
    <col min="13" max="13" width="18.42578125" style="121" bestFit="1" customWidth="1"/>
    <col min="14" max="14" width="18.5703125" style="121" bestFit="1" customWidth="1"/>
    <col min="15" max="15" width="20" style="121" bestFit="1" customWidth="1"/>
    <col min="16" max="16" width="8.85546875" style="121" customWidth="1"/>
    <col min="17" max="16384" width="8.85546875" style="121" hidden="1"/>
  </cols>
  <sheetData>
    <row r="1" spans="1:16" ht="14.1" customHeight="1">
      <c r="A1" s="133"/>
      <c r="B1" s="133"/>
      <c r="C1" s="218" t="s">
        <v>197</v>
      </c>
      <c r="D1" s="218"/>
      <c r="E1" s="218"/>
      <c r="F1" s="218"/>
      <c r="G1" s="218"/>
      <c r="H1" s="218"/>
      <c r="I1" s="218"/>
      <c r="J1" s="218"/>
      <c r="K1" s="218"/>
      <c r="L1" s="218"/>
      <c r="M1" s="218"/>
      <c r="N1" s="218"/>
      <c r="O1" s="133"/>
      <c r="P1" s="133"/>
    </row>
    <row r="2" spans="1:16" ht="14.1" customHeight="1">
      <c r="A2" s="133"/>
      <c r="B2" s="133"/>
      <c r="C2" s="218"/>
      <c r="D2" s="218"/>
      <c r="E2" s="218"/>
      <c r="F2" s="218"/>
      <c r="G2" s="218"/>
      <c r="H2" s="218"/>
      <c r="I2" s="218"/>
      <c r="J2" s="218"/>
      <c r="K2" s="218"/>
      <c r="L2" s="218"/>
      <c r="M2" s="218"/>
      <c r="N2" s="218"/>
      <c r="O2" s="133"/>
      <c r="P2" s="133"/>
    </row>
    <row r="3" spans="1:16" ht="14.1" customHeight="1">
      <c r="A3" s="133"/>
      <c r="B3" s="133"/>
      <c r="C3" s="218"/>
      <c r="D3" s="218"/>
      <c r="E3" s="218"/>
      <c r="F3" s="218"/>
      <c r="G3" s="218"/>
      <c r="H3" s="218"/>
      <c r="I3" s="218"/>
      <c r="J3" s="218"/>
      <c r="K3" s="218"/>
      <c r="L3" s="218"/>
      <c r="M3" s="218"/>
      <c r="N3" s="218"/>
      <c r="O3" s="133"/>
      <c r="P3" s="133"/>
    </row>
    <row r="4" spans="1:16" ht="14.45">
      <c r="A4" s="60"/>
      <c r="B4" s="214"/>
      <c r="C4" s="226"/>
      <c r="D4" s="226"/>
      <c r="E4" s="61"/>
      <c r="F4" s="62"/>
      <c r="G4" s="60"/>
      <c r="H4" s="63"/>
      <c r="I4" s="63"/>
      <c r="J4" s="61"/>
      <c r="K4" s="64"/>
      <c r="L4" s="64"/>
      <c r="M4" s="133"/>
      <c r="N4" s="133"/>
      <c r="O4" s="133"/>
      <c r="P4" s="133"/>
    </row>
    <row r="5" spans="1:16" ht="14.45">
      <c r="A5" s="122"/>
      <c r="B5" s="123"/>
      <c r="C5" s="124"/>
      <c r="D5" s="124"/>
      <c r="E5" s="125"/>
      <c r="F5" s="126"/>
      <c r="G5" s="122"/>
      <c r="H5" s="123"/>
      <c r="I5" s="123"/>
      <c r="J5" s="125"/>
      <c r="K5" s="126"/>
      <c r="L5" s="126"/>
      <c r="M5" s="133"/>
      <c r="N5" s="133"/>
      <c r="O5" s="133"/>
      <c r="P5" s="133"/>
    </row>
    <row r="6" spans="1:16" ht="15">
      <c r="A6" s="227"/>
      <c r="B6" s="127" t="s">
        <v>83</v>
      </c>
      <c r="C6" s="128" t="s">
        <v>84</v>
      </c>
      <c r="D6" s="128"/>
      <c r="E6" s="128"/>
      <c r="F6" s="128"/>
      <c r="G6" s="128"/>
      <c r="H6" s="129"/>
      <c r="I6" s="129"/>
      <c r="J6" s="129"/>
      <c r="K6" s="130"/>
      <c r="L6" s="228"/>
      <c r="M6" s="227"/>
      <c r="N6" s="227"/>
      <c r="O6" s="227"/>
      <c r="P6" s="227"/>
    </row>
    <row r="7" spans="1:16" ht="15">
      <c r="A7" s="227"/>
      <c r="B7" s="127"/>
      <c r="C7" s="128"/>
      <c r="D7" s="128"/>
      <c r="E7" s="128"/>
      <c r="F7" s="128"/>
      <c r="G7" s="128"/>
      <c r="H7" s="129"/>
      <c r="I7" s="129"/>
      <c r="J7" s="129"/>
      <c r="K7" s="130"/>
      <c r="L7" s="228"/>
      <c r="M7" s="227"/>
      <c r="N7" s="227"/>
      <c r="O7" s="227"/>
      <c r="P7" s="227"/>
    </row>
    <row r="9" spans="1:16">
      <c r="A9" s="133"/>
      <c r="B9" s="131" t="s">
        <v>85</v>
      </c>
      <c r="C9" s="254">
        <f>'Sc1 Deep-CBA'!C9</f>
        <v>680000000</v>
      </c>
      <c r="D9" s="229" t="s">
        <v>86</v>
      </c>
      <c r="E9" s="133"/>
      <c r="F9" s="132" t="s">
        <v>87</v>
      </c>
      <c r="G9" s="132" t="s">
        <v>88</v>
      </c>
      <c r="H9" s="132" t="s">
        <v>89</v>
      </c>
      <c r="I9" s="132" t="s">
        <v>90</v>
      </c>
      <c r="J9" s="132" t="s">
        <v>91</v>
      </c>
      <c r="K9" s="132" t="s">
        <v>148</v>
      </c>
      <c r="L9" s="132" t="s">
        <v>149</v>
      </c>
      <c r="M9" s="132" t="s">
        <v>92</v>
      </c>
      <c r="N9" s="132" t="s">
        <v>93</v>
      </c>
      <c r="O9" s="132" t="s">
        <v>94</v>
      </c>
      <c r="P9" s="133"/>
    </row>
    <row r="10" spans="1:16">
      <c r="A10" s="133"/>
      <c r="B10" s="131" t="s">
        <v>96</v>
      </c>
      <c r="C10" s="234">
        <f>'Sc1 Deep-CBA'!C10</f>
        <v>17000</v>
      </c>
      <c r="D10" s="229" t="s">
        <v>86</v>
      </c>
      <c r="E10" s="133"/>
      <c r="F10" s="230">
        <v>0</v>
      </c>
      <c r="G10" s="231"/>
      <c r="H10" s="231"/>
      <c r="I10" s="231"/>
      <c r="J10" s="231"/>
      <c r="K10" s="231"/>
      <c r="L10" s="232">
        <f>IF(C40=1,C66,0)</f>
        <v>422432719.99999994</v>
      </c>
      <c r="M10" s="255">
        <f>(C9-C11*C12)/(1+C79)</f>
        <v>561983471.07438016</v>
      </c>
      <c r="N10" s="231"/>
      <c r="O10" s="232">
        <f>(H10+J10+L10+N10)-(G10+I10+K10+M10)</f>
        <v>-139550751.07438022</v>
      </c>
      <c r="P10" s="133"/>
    </row>
    <row r="11" spans="1:16">
      <c r="A11" s="133"/>
      <c r="B11" s="131" t="s">
        <v>198</v>
      </c>
      <c r="C11" s="238">
        <v>0</v>
      </c>
      <c r="D11" s="229" t="s">
        <v>86</v>
      </c>
      <c r="E11" s="133"/>
      <c r="F11" s="230">
        <v>1</v>
      </c>
      <c r="G11" s="232">
        <f t="shared" ref="G11:G20" si="0">$C$24</f>
        <v>0</v>
      </c>
      <c r="H11" s="232">
        <f t="shared" ref="H11:H20" si="1">$C$23</f>
        <v>0</v>
      </c>
      <c r="I11" s="231">
        <v>0</v>
      </c>
      <c r="J11" s="232">
        <f>$C$17*$C$19*$C$12+($C$18*$C$20*$C$12*$C$33+$C$18*$C$21*$C$12*$C$34+$C$18*$C$19*$C$12*$C$35+$C$18*$C$22*$C$12*$C$36)</f>
        <v>12672981.599999998</v>
      </c>
      <c r="K11" s="232">
        <f t="shared" ref="K11:K35" si="2">$C$13*(1-$C$15)*$C$12*$C$54/1000+($C$14*(1-$C$16)*$C$59/1000*$C$12*$C$33+$C$14*(1-$C$16)*$C$48/1000*$C$12*$C$34+$C$14*(1-$C$16)*$C$58/1000*$C$12*$C$35+$C$14*(1-$C$16)*$C$57/1000*$C$12*$C$36)</f>
        <v>2433027.5600000005</v>
      </c>
      <c r="L11" s="232">
        <f t="shared" ref="L11:L35" si="3">$C$17*$C$54/1000*$C$12+($C$18*$C$59/1000*$C$12*$C$33+$C$18*$C$48/1000*$C$12*$C$34+$C$18*$C$58/1000*$C$12*$C$35+$C$18*$C$57/1000*$C$12*$C$36)+(J11-I11)*$C$76*$C$77</f>
        <v>5415448.4399999995</v>
      </c>
      <c r="M11" s="231"/>
      <c r="N11" s="231"/>
      <c r="O11" s="232">
        <f>(H11+J11+L11+N11)-(G11+I11+K11+M11)</f>
        <v>15655402.479999999</v>
      </c>
      <c r="P11" s="133"/>
    </row>
    <row r="12" spans="1:16">
      <c r="A12" s="133"/>
      <c r="B12" s="131" t="s">
        <v>151</v>
      </c>
      <c r="C12" s="235">
        <f>C9/C10</f>
        <v>40000</v>
      </c>
      <c r="D12" s="229" t="s">
        <v>194</v>
      </c>
      <c r="E12" s="133"/>
      <c r="F12" s="230">
        <v>2</v>
      </c>
      <c r="G12" s="232">
        <f t="shared" si="0"/>
        <v>0</v>
      </c>
      <c r="H12" s="232">
        <f t="shared" si="1"/>
        <v>0</v>
      </c>
      <c r="I12" s="231">
        <v>0</v>
      </c>
      <c r="J12" s="232">
        <f t="shared" ref="J12:J35" si="4">$C$17*$C$19*$C$12+($C$18*$C$20*$C$12*$C$33+$C$18*$C$21*$C$12*$C$34+$C$18*$C$19*$C$12*$C$35+$C$18*$C$22*$C$12*$C$36)</f>
        <v>12672981.599999998</v>
      </c>
      <c r="K12" s="232">
        <f t="shared" si="2"/>
        <v>2433027.5600000005</v>
      </c>
      <c r="L12" s="232">
        <f t="shared" si="3"/>
        <v>5415448.4399999995</v>
      </c>
      <c r="M12" s="231"/>
      <c r="N12" s="231"/>
      <c r="O12" s="232">
        <f t="shared" ref="O12:O26" si="5">(H12+J12+L12+N12)-(G12+I12+K12+M12)</f>
        <v>15655402.479999999</v>
      </c>
      <c r="P12" s="133"/>
    </row>
    <row r="13" spans="1:16">
      <c r="A13" s="133"/>
      <c r="B13" s="131" t="s">
        <v>100</v>
      </c>
      <c r="C13" s="234">
        <f>'Sc0-CBA'!C14</f>
        <v>104</v>
      </c>
      <c r="D13" s="229" t="s">
        <v>101</v>
      </c>
      <c r="E13" s="133"/>
      <c r="F13" s="230">
        <v>3</v>
      </c>
      <c r="G13" s="232">
        <f t="shared" si="0"/>
        <v>0</v>
      </c>
      <c r="H13" s="232">
        <f t="shared" si="1"/>
        <v>0</v>
      </c>
      <c r="I13" s="231">
        <v>0</v>
      </c>
      <c r="J13" s="232">
        <f t="shared" si="4"/>
        <v>12672981.599999998</v>
      </c>
      <c r="K13" s="232">
        <f t="shared" si="2"/>
        <v>2433027.5600000005</v>
      </c>
      <c r="L13" s="232">
        <f t="shared" si="3"/>
        <v>5415448.4399999995</v>
      </c>
      <c r="M13" s="231"/>
      <c r="N13" s="231"/>
      <c r="O13" s="232">
        <f t="shared" si="5"/>
        <v>15655402.479999999</v>
      </c>
      <c r="P13" s="133"/>
    </row>
    <row r="14" spans="1:16">
      <c r="A14" s="133"/>
      <c r="B14" s="131" t="s">
        <v>102</v>
      </c>
      <c r="C14" s="234">
        <f>'Sc0-CBA'!C15</f>
        <v>4070</v>
      </c>
      <c r="D14" s="229" t="s">
        <v>101</v>
      </c>
      <c r="E14" s="133"/>
      <c r="F14" s="230">
        <v>4</v>
      </c>
      <c r="G14" s="232">
        <f t="shared" si="0"/>
        <v>0</v>
      </c>
      <c r="H14" s="232">
        <f t="shared" si="1"/>
        <v>0</v>
      </c>
      <c r="I14" s="231">
        <v>0</v>
      </c>
      <c r="J14" s="232">
        <f t="shared" si="4"/>
        <v>12672981.599999998</v>
      </c>
      <c r="K14" s="232">
        <f t="shared" si="2"/>
        <v>2433027.5600000005</v>
      </c>
      <c r="L14" s="232">
        <f t="shared" si="3"/>
        <v>5415448.4399999995</v>
      </c>
      <c r="M14" s="231"/>
      <c r="N14" s="231"/>
      <c r="O14" s="232">
        <f t="shared" si="5"/>
        <v>15655402.479999999</v>
      </c>
      <c r="P14" s="133"/>
    </row>
    <row r="15" spans="1:16">
      <c r="A15" s="133"/>
      <c r="B15" s="131" t="s">
        <v>125</v>
      </c>
      <c r="C15" s="241">
        <f>'Sc1 Deep-CBA'!C16</f>
        <v>0.69</v>
      </c>
      <c r="D15" s="229" t="s">
        <v>104</v>
      </c>
      <c r="E15" s="133"/>
      <c r="F15" s="230">
        <v>5</v>
      </c>
      <c r="G15" s="232">
        <f t="shared" si="0"/>
        <v>0</v>
      </c>
      <c r="H15" s="232">
        <f t="shared" si="1"/>
        <v>0</v>
      </c>
      <c r="I15" s="231">
        <v>0</v>
      </c>
      <c r="J15" s="232">
        <f t="shared" si="4"/>
        <v>12672981.599999998</v>
      </c>
      <c r="K15" s="232">
        <f t="shared" si="2"/>
        <v>2433027.5600000005</v>
      </c>
      <c r="L15" s="232">
        <f t="shared" si="3"/>
        <v>5415448.4399999995</v>
      </c>
      <c r="M15" s="231"/>
      <c r="N15" s="231"/>
      <c r="O15" s="232">
        <f t="shared" si="5"/>
        <v>15655402.479999999</v>
      </c>
      <c r="P15" s="133"/>
    </row>
    <row r="16" spans="1:16">
      <c r="A16" s="133"/>
      <c r="B16" s="131" t="s">
        <v>127</v>
      </c>
      <c r="C16" s="241">
        <f>'Sc1 Deep-CBA'!C17</f>
        <v>0.69</v>
      </c>
      <c r="D16" s="229" t="s">
        <v>104</v>
      </c>
      <c r="E16" s="133"/>
      <c r="F16" s="230">
        <v>6</v>
      </c>
      <c r="G16" s="232">
        <f t="shared" si="0"/>
        <v>0</v>
      </c>
      <c r="H16" s="232">
        <f t="shared" si="1"/>
        <v>0</v>
      </c>
      <c r="I16" s="231">
        <v>0</v>
      </c>
      <c r="J16" s="232">
        <f t="shared" si="4"/>
        <v>12672981.599999998</v>
      </c>
      <c r="K16" s="232">
        <f t="shared" si="2"/>
        <v>2433027.5600000005</v>
      </c>
      <c r="L16" s="232">
        <f t="shared" si="3"/>
        <v>5415448.4399999995</v>
      </c>
      <c r="M16" s="231"/>
      <c r="N16" s="231"/>
      <c r="O16" s="232">
        <f t="shared" si="5"/>
        <v>15655402.479999999</v>
      </c>
      <c r="P16" s="133"/>
    </row>
    <row r="17" spans="2:15">
      <c r="B17" s="131" t="s">
        <v>154</v>
      </c>
      <c r="C17" s="234">
        <f>C13*C15</f>
        <v>71.759999999999991</v>
      </c>
      <c r="D17" s="229" t="s">
        <v>101</v>
      </c>
      <c r="E17" s="133"/>
      <c r="F17" s="230">
        <v>7</v>
      </c>
      <c r="G17" s="232">
        <f t="shared" si="0"/>
        <v>0</v>
      </c>
      <c r="H17" s="232">
        <f t="shared" si="1"/>
        <v>0</v>
      </c>
      <c r="I17" s="231">
        <v>0</v>
      </c>
      <c r="J17" s="232">
        <f t="shared" si="4"/>
        <v>12672981.599999998</v>
      </c>
      <c r="K17" s="232">
        <f t="shared" si="2"/>
        <v>2433027.5600000005</v>
      </c>
      <c r="L17" s="232">
        <f t="shared" si="3"/>
        <v>5415448.4399999995</v>
      </c>
      <c r="M17" s="231"/>
      <c r="N17" s="231"/>
      <c r="O17" s="232">
        <f t="shared" si="5"/>
        <v>15655402.479999999</v>
      </c>
    </row>
    <row r="18" spans="2:15">
      <c r="B18" s="131" t="s">
        <v>155</v>
      </c>
      <c r="C18" s="234">
        <f>C14*C16</f>
        <v>2808.2999999999997</v>
      </c>
      <c r="D18" s="229" t="s">
        <v>101</v>
      </c>
      <c r="E18" s="133"/>
      <c r="F18" s="230">
        <v>8</v>
      </c>
      <c r="G18" s="232">
        <f t="shared" si="0"/>
        <v>0</v>
      </c>
      <c r="H18" s="232">
        <f t="shared" si="1"/>
        <v>0</v>
      </c>
      <c r="I18" s="231">
        <v>0</v>
      </c>
      <c r="J18" s="232">
        <f t="shared" si="4"/>
        <v>12672981.599999998</v>
      </c>
      <c r="K18" s="232">
        <f t="shared" si="2"/>
        <v>2433027.5600000005</v>
      </c>
      <c r="L18" s="232">
        <f t="shared" si="3"/>
        <v>5415448.4399999995</v>
      </c>
      <c r="M18" s="231"/>
      <c r="N18" s="231"/>
      <c r="O18" s="232">
        <f t="shared" si="5"/>
        <v>15655402.479999999</v>
      </c>
    </row>
    <row r="19" spans="2:15">
      <c r="B19" s="131" t="s">
        <v>113</v>
      </c>
      <c r="C19" s="237">
        <f>'Energy prices'!$D$6/1000</f>
        <v>0.21199999999999999</v>
      </c>
      <c r="D19" s="229" t="s">
        <v>114</v>
      </c>
      <c r="E19" s="133"/>
      <c r="F19" s="230">
        <v>9</v>
      </c>
      <c r="G19" s="232">
        <f t="shared" si="0"/>
        <v>0</v>
      </c>
      <c r="H19" s="232">
        <f t="shared" si="1"/>
        <v>0</v>
      </c>
      <c r="I19" s="231">
        <v>0</v>
      </c>
      <c r="J19" s="232">
        <f t="shared" si="4"/>
        <v>12672981.599999998</v>
      </c>
      <c r="K19" s="232">
        <f t="shared" si="2"/>
        <v>2433027.5600000005</v>
      </c>
      <c r="L19" s="232">
        <f t="shared" si="3"/>
        <v>5415448.4399999995</v>
      </c>
      <c r="M19" s="231"/>
      <c r="N19" s="231"/>
      <c r="O19" s="232">
        <f t="shared" si="5"/>
        <v>15655402.479999999</v>
      </c>
    </row>
    <row r="20" spans="2:15">
      <c r="B20" s="103" t="str">
        <f>'Sc0-CBA'!B26</f>
        <v>Natural gas price</v>
      </c>
      <c r="C20" s="237">
        <f>'Sc0-SCBA'!C25</f>
        <v>9.4E-2</v>
      </c>
      <c r="D20" s="229" t="s">
        <v>114</v>
      </c>
      <c r="E20" s="133"/>
      <c r="F20" s="230">
        <v>10</v>
      </c>
      <c r="G20" s="232">
        <f t="shared" si="0"/>
        <v>0</v>
      </c>
      <c r="H20" s="232">
        <f t="shared" si="1"/>
        <v>0</v>
      </c>
      <c r="I20" s="231">
        <v>0</v>
      </c>
      <c r="J20" s="232">
        <f t="shared" si="4"/>
        <v>12672981.599999998</v>
      </c>
      <c r="K20" s="232">
        <f t="shared" si="2"/>
        <v>2433027.5600000005</v>
      </c>
      <c r="L20" s="232">
        <f t="shared" si="3"/>
        <v>5415448.4399999995</v>
      </c>
      <c r="M20" s="231"/>
      <c r="N20" s="231"/>
      <c r="O20" s="232">
        <f t="shared" si="5"/>
        <v>15655402.479999999</v>
      </c>
    </row>
    <row r="21" spans="2:15">
      <c r="B21" s="103" t="str">
        <f>'Sc0-CBA'!B27</f>
        <v>Petroleum price</v>
      </c>
      <c r="C21" s="237">
        <f>'Energy prices'!C7/1000</f>
        <v>0.11</v>
      </c>
      <c r="D21" s="229" t="s">
        <v>114</v>
      </c>
      <c r="E21" s="133"/>
      <c r="F21" s="230">
        <v>11</v>
      </c>
      <c r="G21" s="232">
        <f t="shared" ref="G21:G22" si="6">$C$24</f>
        <v>0</v>
      </c>
      <c r="H21" s="232">
        <f t="shared" ref="H21:H22" si="7">$C$23</f>
        <v>0</v>
      </c>
      <c r="I21" s="231">
        <v>0</v>
      </c>
      <c r="J21" s="232">
        <f t="shared" si="4"/>
        <v>12672981.599999998</v>
      </c>
      <c r="K21" s="232">
        <f t="shared" si="2"/>
        <v>2433027.5600000005</v>
      </c>
      <c r="L21" s="232">
        <f t="shared" si="3"/>
        <v>5415448.4399999995</v>
      </c>
      <c r="M21" s="231"/>
      <c r="N21" s="231"/>
      <c r="O21" s="232">
        <f t="shared" si="5"/>
        <v>15655402.479999999</v>
      </c>
    </row>
    <row r="22" spans="2:15">
      <c r="B22" s="131" t="s">
        <v>122</v>
      </c>
      <c r="C22" s="237">
        <f>'Energy prices'!C10/1000</f>
        <v>1.7000000000000001E-2</v>
      </c>
      <c r="D22" s="229" t="s">
        <v>114</v>
      </c>
      <c r="E22" s="133"/>
      <c r="F22" s="230">
        <v>12</v>
      </c>
      <c r="G22" s="232">
        <f t="shared" si="6"/>
        <v>0</v>
      </c>
      <c r="H22" s="232">
        <f t="shared" si="7"/>
        <v>0</v>
      </c>
      <c r="I22" s="231">
        <v>0</v>
      </c>
      <c r="J22" s="232">
        <f t="shared" si="4"/>
        <v>12672981.599999998</v>
      </c>
      <c r="K22" s="232">
        <f t="shared" si="2"/>
        <v>2433027.5600000005</v>
      </c>
      <c r="L22" s="232">
        <f t="shared" si="3"/>
        <v>5415448.4399999995</v>
      </c>
      <c r="M22" s="231"/>
      <c r="N22" s="231"/>
      <c r="O22" s="232">
        <f t="shared" si="5"/>
        <v>15655402.479999999</v>
      </c>
    </row>
    <row r="23" spans="2:15">
      <c r="B23" s="131" t="s">
        <v>118</v>
      </c>
      <c r="C23" s="238">
        <v>0</v>
      </c>
      <c r="D23" s="229" t="s">
        <v>86</v>
      </c>
      <c r="E23" s="133"/>
      <c r="F23" s="230">
        <v>13</v>
      </c>
      <c r="G23" s="232">
        <f t="shared" ref="G23:G30" si="8">$C$24</f>
        <v>0</v>
      </c>
      <c r="H23" s="232">
        <f t="shared" ref="H23:H30" si="9">$C$23</f>
        <v>0</v>
      </c>
      <c r="I23" s="231">
        <v>0</v>
      </c>
      <c r="J23" s="232">
        <f t="shared" si="4"/>
        <v>12672981.599999998</v>
      </c>
      <c r="K23" s="232">
        <f t="shared" si="2"/>
        <v>2433027.5600000005</v>
      </c>
      <c r="L23" s="232">
        <f t="shared" si="3"/>
        <v>5415448.4399999995</v>
      </c>
      <c r="M23" s="231"/>
      <c r="N23" s="231"/>
      <c r="O23" s="232">
        <f t="shared" si="5"/>
        <v>15655402.479999999</v>
      </c>
    </row>
    <row r="24" spans="2:15">
      <c r="B24" s="131" t="s">
        <v>119</v>
      </c>
      <c r="C24" s="238">
        <v>0</v>
      </c>
      <c r="D24" s="229" t="s">
        <v>86</v>
      </c>
      <c r="E24" s="133"/>
      <c r="F24" s="230">
        <v>14</v>
      </c>
      <c r="G24" s="232">
        <f t="shared" si="8"/>
        <v>0</v>
      </c>
      <c r="H24" s="232">
        <f t="shared" si="9"/>
        <v>0</v>
      </c>
      <c r="I24" s="231">
        <v>0</v>
      </c>
      <c r="J24" s="232">
        <f t="shared" si="4"/>
        <v>12672981.599999998</v>
      </c>
      <c r="K24" s="232">
        <f t="shared" si="2"/>
        <v>2433027.5600000005</v>
      </c>
      <c r="L24" s="232">
        <f t="shared" si="3"/>
        <v>5415448.4399999995</v>
      </c>
      <c r="M24" s="231"/>
      <c r="N24" s="231"/>
      <c r="O24" s="232">
        <f t="shared" si="5"/>
        <v>15655402.479999999</v>
      </c>
    </row>
    <row r="25" spans="2:15">
      <c r="B25" s="131" t="s">
        <v>93</v>
      </c>
      <c r="C25" s="239">
        <v>0.1</v>
      </c>
      <c r="D25" s="229" t="s">
        <v>195</v>
      </c>
      <c r="E25" s="133"/>
      <c r="F25" s="230">
        <v>15</v>
      </c>
      <c r="G25" s="232">
        <f t="shared" si="8"/>
        <v>0</v>
      </c>
      <c r="H25" s="232">
        <f t="shared" si="9"/>
        <v>0</v>
      </c>
      <c r="I25" s="231">
        <v>0</v>
      </c>
      <c r="J25" s="232">
        <f t="shared" si="4"/>
        <v>12672981.599999998</v>
      </c>
      <c r="K25" s="232">
        <f t="shared" si="2"/>
        <v>2433027.5600000005</v>
      </c>
      <c r="L25" s="232">
        <f t="shared" si="3"/>
        <v>5415448.4399999995</v>
      </c>
      <c r="M25" s="231"/>
      <c r="N25" s="231"/>
      <c r="O25" s="232">
        <f t="shared" si="5"/>
        <v>15655402.479999999</v>
      </c>
    </row>
    <row r="26" spans="2:15">
      <c r="B26" s="131" t="s">
        <v>121</v>
      </c>
      <c r="C26" s="239">
        <v>0.03</v>
      </c>
      <c r="D26" s="229" t="s">
        <v>104</v>
      </c>
      <c r="E26" s="133"/>
      <c r="F26" s="230">
        <v>16</v>
      </c>
      <c r="G26" s="232">
        <f t="shared" si="8"/>
        <v>0</v>
      </c>
      <c r="H26" s="232">
        <f t="shared" si="9"/>
        <v>0</v>
      </c>
      <c r="I26" s="231">
        <v>0</v>
      </c>
      <c r="J26" s="232">
        <f t="shared" si="4"/>
        <v>12672981.599999998</v>
      </c>
      <c r="K26" s="232">
        <f t="shared" si="2"/>
        <v>2433027.5600000005</v>
      </c>
      <c r="L26" s="232">
        <f t="shared" si="3"/>
        <v>5415448.4399999995</v>
      </c>
      <c r="M26" s="231"/>
      <c r="N26" s="231"/>
      <c r="O26" s="232">
        <f t="shared" si="5"/>
        <v>15655402.479999999</v>
      </c>
    </row>
    <row r="27" spans="2:15">
      <c r="B27" s="133"/>
      <c r="C27" s="249"/>
      <c r="D27" s="133"/>
      <c r="E27" s="133"/>
      <c r="F27" s="230">
        <v>17</v>
      </c>
      <c r="G27" s="232">
        <f t="shared" si="8"/>
        <v>0</v>
      </c>
      <c r="H27" s="232">
        <f t="shared" si="9"/>
        <v>0</v>
      </c>
      <c r="I27" s="231">
        <v>0</v>
      </c>
      <c r="J27" s="232">
        <f t="shared" si="4"/>
        <v>12672981.599999998</v>
      </c>
      <c r="K27" s="232">
        <f t="shared" si="2"/>
        <v>2433027.5600000005</v>
      </c>
      <c r="L27" s="232">
        <f t="shared" si="3"/>
        <v>5415448.4399999995</v>
      </c>
      <c r="M27" s="231"/>
      <c r="N27" s="231"/>
      <c r="O27" s="232">
        <f t="shared" ref="O27:O35" si="10">(H27+J27+L27+N27)-(G27+I27+K27+M27)</f>
        <v>15655402.479999999</v>
      </c>
    </row>
    <row r="28" spans="2:15">
      <c r="B28" s="135" t="s">
        <v>133</v>
      </c>
      <c r="C28" s="100">
        <f>NPV(C26,O11:O35)+O10</f>
        <v>133059084.47625983</v>
      </c>
      <c r="D28" s="133"/>
      <c r="E28" s="133"/>
      <c r="F28" s="230">
        <v>18</v>
      </c>
      <c r="G28" s="232">
        <f t="shared" si="8"/>
        <v>0</v>
      </c>
      <c r="H28" s="232">
        <f t="shared" si="9"/>
        <v>0</v>
      </c>
      <c r="I28" s="231">
        <v>0</v>
      </c>
      <c r="J28" s="232">
        <f t="shared" si="4"/>
        <v>12672981.599999998</v>
      </c>
      <c r="K28" s="232">
        <f t="shared" si="2"/>
        <v>2433027.5600000005</v>
      </c>
      <c r="L28" s="232">
        <f t="shared" si="3"/>
        <v>5415448.4399999995</v>
      </c>
      <c r="M28" s="231"/>
      <c r="N28" s="231"/>
      <c r="O28" s="232">
        <f t="shared" si="10"/>
        <v>15655402.479999999</v>
      </c>
    </row>
    <row r="29" spans="2:15">
      <c r="B29" s="135" t="s">
        <v>134</v>
      </c>
      <c r="C29" s="101">
        <f>IRR(O10:O35)</f>
        <v>0.10237324467622444</v>
      </c>
      <c r="D29" s="133"/>
      <c r="E29" s="133"/>
      <c r="F29" s="230">
        <v>19</v>
      </c>
      <c r="G29" s="232">
        <f t="shared" si="8"/>
        <v>0</v>
      </c>
      <c r="H29" s="232">
        <f t="shared" si="9"/>
        <v>0</v>
      </c>
      <c r="I29" s="231">
        <v>0</v>
      </c>
      <c r="J29" s="232">
        <f t="shared" si="4"/>
        <v>12672981.599999998</v>
      </c>
      <c r="K29" s="232">
        <f t="shared" si="2"/>
        <v>2433027.5600000005</v>
      </c>
      <c r="L29" s="232">
        <f t="shared" si="3"/>
        <v>5415448.4399999995</v>
      </c>
      <c r="M29" s="231"/>
      <c r="N29" s="231"/>
      <c r="O29" s="232">
        <f t="shared" si="10"/>
        <v>15655402.479999999</v>
      </c>
    </row>
    <row r="30" spans="2:15">
      <c r="B30" s="135" t="s">
        <v>135</v>
      </c>
      <c r="C30" s="102">
        <f>(H36+J36+L36)/(G36+I36+K36)</f>
        <v>17.405409828924405</v>
      </c>
      <c r="D30" s="133"/>
      <c r="E30" s="133"/>
      <c r="F30" s="230">
        <v>20</v>
      </c>
      <c r="G30" s="232">
        <f t="shared" si="8"/>
        <v>0</v>
      </c>
      <c r="H30" s="232">
        <f t="shared" si="9"/>
        <v>0</v>
      </c>
      <c r="I30" s="231">
        <v>0</v>
      </c>
      <c r="J30" s="232">
        <f t="shared" si="4"/>
        <v>12672981.599999998</v>
      </c>
      <c r="K30" s="232">
        <f t="shared" si="2"/>
        <v>2433027.5600000005</v>
      </c>
      <c r="L30" s="232">
        <f t="shared" si="3"/>
        <v>5415448.4399999995</v>
      </c>
      <c r="M30" s="231"/>
      <c r="N30" s="231"/>
      <c r="O30" s="232">
        <f t="shared" si="10"/>
        <v>15655402.479999999</v>
      </c>
    </row>
    <row r="31" spans="2:15">
      <c r="B31" s="153"/>
      <c r="C31" s="159"/>
      <c r="D31" s="133"/>
      <c r="E31" s="133"/>
      <c r="F31" s="230">
        <v>21</v>
      </c>
      <c r="G31" s="232">
        <f t="shared" ref="G31:G35" si="11">$C$24</f>
        <v>0</v>
      </c>
      <c r="H31" s="232">
        <f t="shared" ref="H31:H35" si="12">$C$23</f>
        <v>0</v>
      </c>
      <c r="I31" s="231">
        <v>0</v>
      </c>
      <c r="J31" s="232">
        <f t="shared" si="4"/>
        <v>12672981.599999998</v>
      </c>
      <c r="K31" s="232">
        <f t="shared" si="2"/>
        <v>2433027.5600000005</v>
      </c>
      <c r="L31" s="232">
        <f t="shared" si="3"/>
        <v>5415448.4399999995</v>
      </c>
      <c r="M31" s="231"/>
      <c r="N31" s="231"/>
      <c r="O31" s="232">
        <f t="shared" si="10"/>
        <v>15655402.479999999</v>
      </c>
    </row>
    <row r="32" spans="2:15">
      <c r="B32" s="104" t="str">
        <f>'Sc0-CBA'!G32</f>
        <v>Fuel share per households in the region</v>
      </c>
      <c r="C32" s="242"/>
      <c r="D32" s="133"/>
      <c r="E32" s="133"/>
      <c r="F32" s="230">
        <v>22</v>
      </c>
      <c r="G32" s="232">
        <f t="shared" si="11"/>
        <v>0</v>
      </c>
      <c r="H32" s="232">
        <f t="shared" si="12"/>
        <v>0</v>
      </c>
      <c r="I32" s="231">
        <v>0</v>
      </c>
      <c r="J32" s="232">
        <f t="shared" si="4"/>
        <v>12672981.599999998</v>
      </c>
      <c r="K32" s="232">
        <f t="shared" si="2"/>
        <v>2433027.5600000005</v>
      </c>
      <c r="L32" s="232">
        <f t="shared" si="3"/>
        <v>5415448.4399999995</v>
      </c>
      <c r="M32" s="231"/>
      <c r="N32" s="231"/>
      <c r="O32" s="232">
        <f t="shared" si="10"/>
        <v>15655402.479999999</v>
      </c>
    </row>
    <row r="33" spans="2:15">
      <c r="B33" s="244" t="str">
        <f>'Sc0-CBA'!G33</f>
        <v>Natural gas</v>
      </c>
      <c r="C33" s="247">
        <f>'Sc0-CBA'!H33</f>
        <v>0.48</v>
      </c>
      <c r="D33" s="133"/>
      <c r="E33" s="133"/>
      <c r="F33" s="230">
        <v>23</v>
      </c>
      <c r="G33" s="232">
        <f t="shared" si="11"/>
        <v>0</v>
      </c>
      <c r="H33" s="232">
        <f t="shared" si="12"/>
        <v>0</v>
      </c>
      <c r="I33" s="231">
        <v>0</v>
      </c>
      <c r="J33" s="232">
        <f t="shared" si="4"/>
        <v>12672981.599999998</v>
      </c>
      <c r="K33" s="232">
        <f t="shared" si="2"/>
        <v>2433027.5600000005</v>
      </c>
      <c r="L33" s="232">
        <f t="shared" si="3"/>
        <v>5415448.4399999995</v>
      </c>
      <c r="M33" s="231"/>
      <c r="N33" s="231"/>
      <c r="O33" s="232">
        <f t="shared" si="10"/>
        <v>15655402.479999999</v>
      </c>
    </row>
    <row r="34" spans="2:15">
      <c r="B34" s="244" t="str">
        <f>'Sc0-CBA'!G34</f>
        <v>Petroleum derivatives</v>
      </c>
      <c r="C34" s="247">
        <f>'Sc0-CBA'!H34</f>
        <v>0.2</v>
      </c>
      <c r="D34" s="133"/>
      <c r="E34" s="133"/>
      <c r="F34" s="230">
        <v>24</v>
      </c>
      <c r="G34" s="232">
        <f t="shared" si="11"/>
        <v>0</v>
      </c>
      <c r="H34" s="232">
        <f t="shared" si="12"/>
        <v>0</v>
      </c>
      <c r="I34" s="231">
        <v>0</v>
      </c>
      <c r="J34" s="232">
        <f t="shared" si="4"/>
        <v>12672981.599999998</v>
      </c>
      <c r="K34" s="232">
        <f t="shared" si="2"/>
        <v>2433027.5600000005</v>
      </c>
      <c r="L34" s="232">
        <f t="shared" si="3"/>
        <v>5415448.4399999995</v>
      </c>
      <c r="M34" s="231"/>
      <c r="N34" s="231"/>
      <c r="O34" s="232">
        <f t="shared" si="10"/>
        <v>15655402.479999999</v>
      </c>
    </row>
    <row r="35" spans="2:15">
      <c r="B35" s="246" t="s">
        <v>128</v>
      </c>
      <c r="C35" s="247">
        <f>'Sc0-CBA'!H35</f>
        <v>0.19</v>
      </c>
      <c r="D35" s="133"/>
      <c r="E35" s="133"/>
      <c r="F35" s="230">
        <v>25</v>
      </c>
      <c r="G35" s="232">
        <f t="shared" si="11"/>
        <v>0</v>
      </c>
      <c r="H35" s="232">
        <f t="shared" si="12"/>
        <v>0</v>
      </c>
      <c r="I35" s="231">
        <v>0</v>
      </c>
      <c r="J35" s="232">
        <f t="shared" si="4"/>
        <v>12672981.599999998</v>
      </c>
      <c r="K35" s="232">
        <f t="shared" si="2"/>
        <v>2433027.5600000005</v>
      </c>
      <c r="L35" s="232">
        <f t="shared" si="3"/>
        <v>5415448.4399999995</v>
      </c>
      <c r="M35" s="231"/>
      <c r="N35" s="231"/>
      <c r="O35" s="232">
        <f t="shared" si="10"/>
        <v>15655402.479999999</v>
      </c>
    </row>
    <row r="36" spans="2:15">
      <c r="B36" s="246" t="s">
        <v>78</v>
      </c>
      <c r="C36" s="247">
        <f>'Sc0-CBA'!H36</f>
        <v>0</v>
      </c>
      <c r="D36" s="133"/>
      <c r="E36" s="133"/>
      <c r="F36" s="134" t="s">
        <v>116</v>
      </c>
      <c r="G36" s="98">
        <f>NPV($C$26,G11:G35)+G10</f>
        <v>0</v>
      </c>
      <c r="H36" s="98">
        <f t="shared" ref="H36:O36" si="13">NPV($C$26,H11:H35)+H10</f>
        <v>0</v>
      </c>
      <c r="I36" s="98">
        <f t="shared" si="13"/>
        <v>0</v>
      </c>
      <c r="J36" s="98">
        <f t="shared" si="13"/>
        <v>220676500.28964862</v>
      </c>
      <c r="K36" s="98">
        <f t="shared" si="13"/>
        <v>42366668.239229791</v>
      </c>
      <c r="L36" s="98">
        <f t="shared" si="13"/>
        <v>516732723.50022101</v>
      </c>
      <c r="M36" s="98">
        <f t="shared" si="13"/>
        <v>561983471.07438016</v>
      </c>
      <c r="N36" s="98">
        <f t="shared" si="13"/>
        <v>0</v>
      </c>
      <c r="O36" s="98">
        <f t="shared" si="13"/>
        <v>133059084.47625983</v>
      </c>
    </row>
    <row r="37" spans="2:15">
      <c r="B37" s="246" t="s">
        <v>81</v>
      </c>
      <c r="C37" s="247">
        <f>'Sc0-CBA'!H37</f>
        <v>0.12</v>
      </c>
      <c r="D37" s="133"/>
      <c r="E37" s="133"/>
      <c r="F37" s="162"/>
      <c r="G37" s="163"/>
      <c r="H37" s="163"/>
      <c r="I37" s="163"/>
      <c r="J37" s="163"/>
      <c r="K37" s="163"/>
      <c r="L37" s="163"/>
      <c r="M37" s="163"/>
      <c r="N37" s="163"/>
      <c r="O37" s="163"/>
    </row>
    <row r="38" spans="2:15">
      <c r="B38" s="246" t="s">
        <v>116</v>
      </c>
      <c r="C38" s="247">
        <f>SUM(C33:C37)</f>
        <v>0.98999999999999988</v>
      </c>
      <c r="D38" s="133"/>
      <c r="E38" s="133"/>
      <c r="F38" s="133"/>
      <c r="G38" s="133"/>
      <c r="H38" s="133"/>
      <c r="I38" s="133"/>
      <c r="J38" s="133"/>
      <c r="K38" s="133"/>
      <c r="L38" s="133"/>
      <c r="M38" s="133"/>
      <c r="N38" s="133"/>
      <c r="O38" s="133"/>
    </row>
    <row r="40" spans="2:15">
      <c r="B40" s="131" t="s">
        <v>156</v>
      </c>
      <c r="C40" s="238">
        <v>1</v>
      </c>
      <c r="D40" s="229" t="s">
        <v>157</v>
      </c>
      <c r="E40" s="133"/>
      <c r="F40" s="133"/>
      <c r="G40" s="133"/>
      <c r="H40" s="133"/>
      <c r="I40" s="133"/>
      <c r="J40" s="133"/>
      <c r="K40" s="133"/>
      <c r="L40" s="133"/>
      <c r="M40" s="133"/>
      <c r="N40" s="133"/>
      <c r="O40" s="133"/>
    </row>
    <row r="41" spans="2:15">
      <c r="B41" s="131" t="s">
        <v>158</v>
      </c>
      <c r="C41" s="258">
        <v>2</v>
      </c>
      <c r="D41" s="229" t="s">
        <v>159</v>
      </c>
      <c r="E41" s="133"/>
      <c r="F41" s="133"/>
      <c r="G41" s="133"/>
      <c r="H41" s="133"/>
      <c r="I41" s="133"/>
      <c r="J41" s="133"/>
      <c r="K41" s="133"/>
      <c r="L41" s="133"/>
      <c r="M41" s="133"/>
      <c r="N41" s="133"/>
      <c r="O41" s="133"/>
    </row>
    <row r="42" spans="2:15">
      <c r="B42" s="131" t="s">
        <v>160</v>
      </c>
      <c r="C42" s="144">
        <v>0</v>
      </c>
      <c r="D42" s="259" t="s">
        <v>161</v>
      </c>
      <c r="E42" s="133"/>
      <c r="F42" s="133"/>
      <c r="G42" s="133"/>
      <c r="H42" s="133"/>
      <c r="I42" s="133"/>
      <c r="J42" s="133"/>
      <c r="K42" s="133"/>
      <c r="L42" s="133"/>
      <c r="M42" s="133"/>
      <c r="N42" s="133"/>
      <c r="O42" s="133"/>
    </row>
    <row r="45" spans="2:15">
      <c r="B45" s="145" t="s">
        <v>162</v>
      </c>
      <c r="C45" s="249"/>
      <c r="D45" s="133"/>
      <c r="E45" s="133"/>
      <c r="F45" s="133"/>
      <c r="G45" s="133"/>
      <c r="H45" s="133"/>
      <c r="I45" s="133"/>
      <c r="J45" s="133"/>
      <c r="K45" s="133"/>
      <c r="L45" s="133"/>
      <c r="M45" s="133"/>
      <c r="N45" s="133"/>
      <c r="O45" s="133"/>
    </row>
    <row r="46" spans="2:15">
      <c r="B46" s="216" t="s">
        <v>163</v>
      </c>
      <c r="C46" s="146" t="s">
        <v>164</v>
      </c>
      <c r="D46" s="133"/>
      <c r="E46" s="133"/>
      <c r="F46" s="133"/>
      <c r="G46" s="133"/>
      <c r="H46" s="133"/>
      <c r="I46" s="133"/>
      <c r="J46" s="133"/>
      <c r="K46" s="133"/>
      <c r="L46" s="133"/>
      <c r="M46" s="133"/>
      <c r="N46" s="133"/>
      <c r="O46" s="133"/>
    </row>
    <row r="47" spans="2:15">
      <c r="B47" s="217"/>
      <c r="C47" s="146" t="s">
        <v>165</v>
      </c>
      <c r="D47" s="133"/>
      <c r="E47" s="133"/>
      <c r="F47" s="133"/>
      <c r="G47" s="133"/>
      <c r="H47" s="133"/>
      <c r="I47" s="133"/>
      <c r="J47" s="133"/>
      <c r="K47" s="133"/>
      <c r="L47" s="133"/>
      <c r="M47" s="133"/>
      <c r="N47" s="133"/>
      <c r="O47" s="133"/>
    </row>
    <row r="48" spans="2:15">
      <c r="B48" s="147" t="s">
        <v>166</v>
      </c>
      <c r="C48" s="260">
        <f>externalities!D25</f>
        <v>51</v>
      </c>
      <c r="D48" s="133"/>
      <c r="E48" s="133"/>
      <c r="F48" s="133"/>
      <c r="G48" s="133"/>
      <c r="H48" s="133"/>
      <c r="I48" s="133"/>
      <c r="J48" s="133"/>
      <c r="K48" s="133"/>
      <c r="L48" s="133"/>
      <c r="M48" s="133"/>
      <c r="N48" s="133"/>
      <c r="O48" s="133"/>
    </row>
    <row r="49" spans="2:4">
      <c r="B49" s="147" t="s">
        <v>167</v>
      </c>
      <c r="C49" s="260">
        <f>externalities!D27</f>
        <v>43.4</v>
      </c>
      <c r="D49" s="133"/>
    </row>
    <row r="50" spans="2:4">
      <c r="B50" s="147" t="s">
        <v>168</v>
      </c>
      <c r="C50" s="260">
        <f>externalities!D22</f>
        <v>36</v>
      </c>
      <c r="D50" s="133"/>
    </row>
    <row r="51" spans="2:4">
      <c r="B51" s="147" t="s">
        <v>169</v>
      </c>
      <c r="C51" s="260">
        <f>externalities!D24</f>
        <v>32.200000000000003</v>
      </c>
      <c r="D51" s="133"/>
    </row>
    <row r="52" spans="2:4">
      <c r="B52" s="147" t="s">
        <v>170</v>
      </c>
      <c r="C52" s="260">
        <f>externalities!D17</f>
        <v>36</v>
      </c>
      <c r="D52" s="133"/>
    </row>
    <row r="53" spans="2:4">
      <c r="B53" s="147" t="s">
        <v>171</v>
      </c>
      <c r="C53" s="260">
        <f>externalities!D16</f>
        <v>21.8</v>
      </c>
      <c r="D53" s="133"/>
    </row>
    <row r="54" spans="2:4">
      <c r="B54" s="147" t="s">
        <v>172</v>
      </c>
      <c r="C54" s="260">
        <f>externalities!D19</f>
        <v>48.5</v>
      </c>
      <c r="D54" s="133"/>
    </row>
    <row r="55" spans="2:4">
      <c r="B55" s="147" t="s">
        <v>173</v>
      </c>
      <c r="C55" s="260">
        <f>externalities!D35</f>
        <v>24</v>
      </c>
      <c r="D55" s="133"/>
    </row>
    <row r="56" spans="2:4">
      <c r="B56" s="147" t="s">
        <v>174</v>
      </c>
      <c r="C56" s="260">
        <f>externalities!D31</f>
        <v>9.6</v>
      </c>
      <c r="D56" s="133"/>
    </row>
    <row r="57" spans="2:4">
      <c r="B57" s="147" t="s">
        <v>78</v>
      </c>
      <c r="C57" s="260">
        <f>externalities!D34</f>
        <v>174</v>
      </c>
      <c r="D57" s="133"/>
    </row>
    <row r="58" spans="2:4">
      <c r="B58" s="147" t="s">
        <v>175</v>
      </c>
      <c r="C58" s="260">
        <f>externalities!D18</f>
        <v>47</v>
      </c>
      <c r="D58" s="133"/>
    </row>
    <row r="59" spans="2:4">
      <c r="B59" s="109" t="str">
        <f>'Sc0-SCBA'!B63</f>
        <v>District heating (lignite)</v>
      </c>
      <c r="C59" s="260">
        <f>'Sc0-SCBA'!C63</f>
        <v>58</v>
      </c>
      <c r="D59" s="133"/>
    </row>
    <row r="61" spans="2:4">
      <c r="B61" s="145" t="s">
        <v>177</v>
      </c>
      <c r="C61" s="249"/>
      <c r="D61" s="133"/>
    </row>
    <row r="62" spans="2:4">
      <c r="B62" s="146" t="s">
        <v>178</v>
      </c>
      <c r="C62" s="261">
        <v>0.03</v>
      </c>
      <c r="D62" s="262"/>
    </row>
    <row r="63" spans="2:4">
      <c r="B63" s="146" t="s">
        <v>179</v>
      </c>
      <c r="C63" s="234">
        <f>C64+C65</f>
        <v>12672981.599999998</v>
      </c>
      <c r="D63" s="262" t="s">
        <v>86</v>
      </c>
    </row>
    <row r="64" spans="2:4">
      <c r="B64" s="148" t="s">
        <v>180</v>
      </c>
      <c r="C64" s="234">
        <f>J11-I11</f>
        <v>12672981.599999998</v>
      </c>
      <c r="D64" s="262" t="s">
        <v>86</v>
      </c>
    </row>
    <row r="65" spans="2:4">
      <c r="B65" s="148" t="s">
        <v>181</v>
      </c>
      <c r="C65" s="234">
        <f>H11-G11</f>
        <v>0</v>
      </c>
      <c r="D65" s="262" t="s">
        <v>86</v>
      </c>
    </row>
    <row r="66" spans="2:4">
      <c r="B66" s="131" t="s">
        <v>182</v>
      </c>
      <c r="C66" s="234">
        <f>IF(externalities!$C$12=1,C63/C62,0)</f>
        <v>422432719.99999994</v>
      </c>
      <c r="D66" s="262" t="s">
        <v>86</v>
      </c>
    </row>
    <row r="68" spans="2:4">
      <c r="B68" s="145" t="s">
        <v>183</v>
      </c>
      <c r="C68" s="249"/>
      <c r="D68" s="133"/>
    </row>
    <row r="69" spans="2:4">
      <c r="B69" s="149" t="s">
        <v>183</v>
      </c>
      <c r="C69" s="146" t="s">
        <v>164</v>
      </c>
      <c r="D69" s="150"/>
    </row>
    <row r="70" spans="2:4">
      <c r="B70" s="147" t="s">
        <v>184</v>
      </c>
      <c r="C70" s="151">
        <v>5</v>
      </c>
      <c r="D70" s="133"/>
    </row>
    <row r="71" spans="2:4">
      <c r="B71" s="147" t="s">
        <v>185</v>
      </c>
      <c r="C71" s="151">
        <v>4</v>
      </c>
      <c r="D71" s="133"/>
    </row>
    <row r="72" spans="2:4">
      <c r="B72" s="147" t="s">
        <v>186</v>
      </c>
      <c r="C72" s="151">
        <v>3</v>
      </c>
      <c r="D72" s="133"/>
    </row>
    <row r="73" spans="2:4">
      <c r="B73" s="147" t="s">
        <v>187</v>
      </c>
      <c r="C73" s="151">
        <v>2</v>
      </c>
      <c r="D73" s="133"/>
    </row>
    <row r="74" spans="2:4">
      <c r="B74" s="147" t="s">
        <v>188</v>
      </c>
      <c r="C74" s="151">
        <v>1</v>
      </c>
      <c r="D74" s="133"/>
    </row>
    <row r="76" spans="2:4">
      <c r="B76" s="151" t="s">
        <v>189</v>
      </c>
      <c r="C76" s="263">
        <f>(IF(C42=1,0.2,IF(C42=2,0.4,IF(C42=3,0.6,IF(C42=4,0.8,IF(C42=5,1,0))))))</f>
        <v>0</v>
      </c>
      <c r="D76" s="151" t="s">
        <v>190</v>
      </c>
    </row>
    <row r="77" spans="2:4">
      <c r="B77" s="151" t="s">
        <v>189</v>
      </c>
      <c r="C77" s="239">
        <v>0.1</v>
      </c>
      <c r="D77" s="151" t="s">
        <v>191</v>
      </c>
    </row>
    <row r="79" spans="2:4">
      <c r="B79" s="152" t="s">
        <v>192</v>
      </c>
      <c r="C79" s="245">
        <f>'Sc0-SCBA'!C83</f>
        <v>0.21</v>
      </c>
      <c r="D79" s="133"/>
    </row>
    <row r="80" spans="2:4">
      <c r="B80" s="133"/>
      <c r="C80" s="133"/>
      <c r="D80" s="133"/>
    </row>
    <row r="81" spans="2:3">
      <c r="B81" s="133"/>
      <c r="C81" s="133"/>
    </row>
    <row r="82" spans="2:3">
      <c r="B82" s="137"/>
      <c r="C82" s="133"/>
    </row>
  </sheetData>
  <sheetProtection algorithmName="SHA-512" hashValue="V9rkDY6Pa9j0uGLuOi9KYSBjxZ7WxOQVSThBrnBWhyAXqxB5Aex4lbjEHBwNr3skHtI/hPPJkqV0slUmrO4N3w==" saltValue="kTKBOvvaIPbJvedKuh6jmg==" spinCount="100000" sheet="1" objects="1" scenarios="1" selectLockedCells="1"/>
  <mergeCells count="3">
    <mergeCell ref="B46:B47"/>
    <mergeCell ref="C1:N3"/>
    <mergeCell ref="B4:D4"/>
  </mergeCells>
  <pageMargins left="0.7" right="0.7" top="0.75" bottom="0.75" header="0.3" footer="0.3"/>
  <pageSetup orientation="portrait" horizontalDpi="4294967293" verticalDpi="4294967293"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93E7D-05DB-481A-A69E-2FFE106FC67C}">
  <sheetPr>
    <tabColor theme="8" tint="-0.499984740745262"/>
  </sheetPr>
  <dimension ref="A1:P82"/>
  <sheetViews>
    <sheetView zoomScale="50" zoomScaleNormal="50" workbookViewId="0">
      <selection activeCell="C9" sqref="C9"/>
    </sheetView>
  </sheetViews>
  <sheetFormatPr defaultColWidth="0" defaultRowHeight="14.1"/>
  <cols>
    <col min="1" max="1" width="3.5703125" style="121" customWidth="1"/>
    <col min="2" max="2" width="55.85546875" style="121" customWidth="1"/>
    <col min="3" max="3" width="20.5703125" style="136" customWidth="1"/>
    <col min="4" max="4" width="20.42578125" style="121" customWidth="1"/>
    <col min="5" max="6" width="8.85546875" style="121" customWidth="1"/>
    <col min="7" max="8" width="12" style="121" bestFit="1" customWidth="1"/>
    <col min="9" max="9" width="16.5703125" style="121" bestFit="1" customWidth="1"/>
    <col min="10" max="10" width="17" style="121" bestFit="1" customWidth="1"/>
    <col min="11" max="12" width="17.42578125" style="121" bestFit="1" customWidth="1"/>
    <col min="13" max="13" width="18.42578125" style="121" bestFit="1" customWidth="1"/>
    <col min="14" max="14" width="18.5703125" style="121" bestFit="1" customWidth="1"/>
    <col min="15" max="15" width="20" style="121" bestFit="1" customWidth="1"/>
    <col min="16" max="16" width="8.85546875" style="121" customWidth="1"/>
    <col min="17" max="16384" width="8.85546875" style="121" hidden="1"/>
  </cols>
  <sheetData>
    <row r="1" spans="1:16" ht="14.1" customHeight="1">
      <c r="A1" s="133"/>
      <c r="B1" s="133"/>
      <c r="C1" s="218" t="s">
        <v>199</v>
      </c>
      <c r="D1" s="218"/>
      <c r="E1" s="218"/>
      <c r="F1" s="218"/>
      <c r="G1" s="218"/>
      <c r="H1" s="218"/>
      <c r="I1" s="218"/>
      <c r="J1" s="218"/>
      <c r="K1" s="218"/>
      <c r="L1" s="218"/>
      <c r="M1" s="218"/>
      <c r="N1" s="218"/>
      <c r="O1" s="133"/>
      <c r="P1" s="133"/>
    </row>
    <row r="2" spans="1:16" ht="14.1" customHeight="1">
      <c r="A2" s="133"/>
      <c r="B2" s="133"/>
      <c r="C2" s="218"/>
      <c r="D2" s="218"/>
      <c r="E2" s="218"/>
      <c r="F2" s="218"/>
      <c r="G2" s="218"/>
      <c r="H2" s="218"/>
      <c r="I2" s="218"/>
      <c r="J2" s="218"/>
      <c r="K2" s="218"/>
      <c r="L2" s="218"/>
      <c r="M2" s="218"/>
      <c r="N2" s="218"/>
      <c r="O2" s="133"/>
      <c r="P2" s="133"/>
    </row>
    <row r="3" spans="1:16" ht="14.1" customHeight="1">
      <c r="A3" s="133"/>
      <c r="B3" s="133"/>
      <c r="C3" s="218"/>
      <c r="D3" s="218"/>
      <c r="E3" s="218"/>
      <c r="F3" s="218"/>
      <c r="G3" s="218"/>
      <c r="H3" s="218"/>
      <c r="I3" s="218"/>
      <c r="J3" s="218"/>
      <c r="K3" s="218"/>
      <c r="L3" s="218"/>
      <c r="M3" s="218"/>
      <c r="N3" s="218"/>
      <c r="O3" s="133"/>
      <c r="P3" s="133"/>
    </row>
    <row r="4" spans="1:16" ht="14.45">
      <c r="A4" s="60"/>
      <c r="B4" s="214"/>
      <c r="C4" s="226"/>
      <c r="D4" s="226"/>
      <c r="E4" s="61"/>
      <c r="F4" s="62"/>
      <c r="G4" s="60"/>
      <c r="H4" s="63"/>
      <c r="I4" s="63"/>
      <c r="J4" s="61"/>
      <c r="K4" s="64"/>
      <c r="L4" s="64"/>
      <c r="M4" s="133"/>
      <c r="N4" s="133"/>
      <c r="O4" s="133"/>
      <c r="P4" s="133"/>
    </row>
    <row r="5" spans="1:16" ht="14.45">
      <c r="A5" s="122"/>
      <c r="B5" s="123"/>
      <c r="C5" s="124"/>
      <c r="D5" s="124"/>
      <c r="E5" s="125"/>
      <c r="F5" s="126"/>
      <c r="G5" s="122"/>
      <c r="H5" s="123"/>
      <c r="I5" s="123"/>
      <c r="J5" s="125"/>
      <c r="K5" s="126"/>
      <c r="L5" s="126"/>
      <c r="M5" s="133"/>
      <c r="N5" s="133"/>
      <c r="O5" s="133"/>
      <c r="P5" s="133"/>
    </row>
    <row r="6" spans="1:16" ht="15">
      <c r="A6" s="227"/>
      <c r="B6" s="127" t="s">
        <v>83</v>
      </c>
      <c r="C6" s="128" t="s">
        <v>84</v>
      </c>
      <c r="D6" s="128"/>
      <c r="E6" s="128"/>
      <c r="F6" s="128"/>
      <c r="G6" s="128"/>
      <c r="H6" s="129"/>
      <c r="I6" s="129"/>
      <c r="J6" s="129"/>
      <c r="K6" s="130"/>
      <c r="L6" s="228"/>
      <c r="M6" s="227"/>
      <c r="N6" s="227"/>
      <c r="O6" s="227"/>
      <c r="P6" s="227"/>
    </row>
    <row r="7" spans="1:16" ht="15">
      <c r="A7" s="227"/>
      <c r="B7" s="127"/>
      <c r="C7" s="128"/>
      <c r="D7" s="128"/>
      <c r="E7" s="128"/>
      <c r="F7" s="128"/>
      <c r="G7" s="128"/>
      <c r="H7" s="129"/>
      <c r="I7" s="129"/>
      <c r="J7" s="129"/>
      <c r="K7" s="130"/>
      <c r="L7" s="228"/>
      <c r="M7" s="227"/>
      <c r="N7" s="227"/>
      <c r="O7" s="227"/>
      <c r="P7" s="227"/>
    </row>
    <row r="9" spans="1:16">
      <c r="A9" s="133"/>
      <c r="B9" s="131" t="s">
        <v>85</v>
      </c>
      <c r="C9" s="268">
        <f>'Sc1 Medium-CBA'!C9</f>
        <v>680000000</v>
      </c>
      <c r="D9" s="229" t="s">
        <v>86</v>
      </c>
      <c r="E9" s="133"/>
      <c r="F9" s="132" t="s">
        <v>87</v>
      </c>
      <c r="G9" s="132" t="s">
        <v>88</v>
      </c>
      <c r="H9" s="132" t="s">
        <v>89</v>
      </c>
      <c r="I9" s="132" t="s">
        <v>90</v>
      </c>
      <c r="J9" s="132" t="s">
        <v>91</v>
      </c>
      <c r="K9" s="132" t="s">
        <v>148</v>
      </c>
      <c r="L9" s="132" t="s">
        <v>149</v>
      </c>
      <c r="M9" s="132" t="s">
        <v>92</v>
      </c>
      <c r="N9" s="132" t="s">
        <v>93</v>
      </c>
      <c r="O9" s="132" t="s">
        <v>94</v>
      </c>
      <c r="P9" s="133"/>
    </row>
    <row r="10" spans="1:16">
      <c r="A10" s="133"/>
      <c r="B10" s="131" t="s">
        <v>96</v>
      </c>
      <c r="C10" s="238">
        <f>'Sc1 Medium-CBA'!C10</f>
        <v>13000</v>
      </c>
      <c r="D10" s="229" t="s">
        <v>86</v>
      </c>
      <c r="E10" s="133"/>
      <c r="F10" s="230">
        <v>0</v>
      </c>
      <c r="G10" s="231"/>
      <c r="H10" s="231"/>
      <c r="I10" s="231"/>
      <c r="J10" s="231"/>
      <c r="K10" s="231"/>
      <c r="L10" s="231">
        <f>IF(C40=1,C66,0)</f>
        <v>448334391.79487187</v>
      </c>
      <c r="M10" s="269">
        <f>(C9-C11*C12)/(1+C79)</f>
        <v>561983471.07438016</v>
      </c>
      <c r="N10" s="231"/>
      <c r="O10" s="231">
        <f>(H10+J10+L10+N10)-(G10+I10+K10+M10)</f>
        <v>-113649079.27950829</v>
      </c>
      <c r="P10" s="133"/>
    </row>
    <row r="11" spans="1:16">
      <c r="A11" s="133"/>
      <c r="B11" s="131" t="s">
        <v>198</v>
      </c>
      <c r="C11" s="238">
        <v>0</v>
      </c>
      <c r="D11" s="229" t="s">
        <v>86</v>
      </c>
      <c r="E11" s="133"/>
      <c r="F11" s="230">
        <v>1</v>
      </c>
      <c r="G11" s="231">
        <f t="shared" ref="G11:G20" si="0">$C$24</f>
        <v>0</v>
      </c>
      <c r="H11" s="231">
        <f t="shared" ref="H11:H20" si="1">$C$23</f>
        <v>0</v>
      </c>
      <c r="I11" s="231">
        <v>0</v>
      </c>
      <c r="J11" s="231">
        <f>$C$17*$C$19*$C$12+($C$18*$C$20*$C$12*$C$33+$C$18*$C$21*$C$12*$C$34+$C$18*$C$19*$C$12*$C$35+$C$18*$C$22*$C$12*$C$36)</f>
        <v>13450031.753846155</v>
      </c>
      <c r="K11" s="231">
        <f t="shared" ref="K11:K35" si="2">$C$13*(1-$C$15)*$C$12*$C$54/1000+($C$14*(1-$C$16)*$C$59/1000*$C$12*$C$33+$C$14*(1-$C$16)*$C$48/1000*$C$12*$C$34+$C$14*(1-$C$16)*$C$58/1000*$C$12*$C$35+$C$14*(1-$C$16)*$C$57/1000*$C$12*$C$36)</f>
        <v>4515892.3446153831</v>
      </c>
      <c r="L11" s="231">
        <f t="shared" ref="L11:L35" si="3">$C$17*$C$54/1000*$C$12+($C$18*$C$59/1000*$C$12*$C$33+$C$18*$C$48/1000*$C$12*$C$34+$C$18*$C$58/1000*$C$12*$C$35+$C$18*$C$57/1000*$C$12*$C$36)+(J11-I11)*$C$76*$C$77</f>
        <v>5747499.347692308</v>
      </c>
      <c r="M11" s="231"/>
      <c r="N11" s="231"/>
      <c r="O11" s="231">
        <f>(H11+J11+L11+N11)-(G11+I11+K11+M11)</f>
        <v>14681638.756923081</v>
      </c>
      <c r="P11" s="133"/>
    </row>
    <row r="12" spans="1:16">
      <c r="A12" s="133"/>
      <c r="B12" s="131" t="s">
        <v>151</v>
      </c>
      <c r="C12" s="270">
        <f>C9/C10</f>
        <v>52307.692307692305</v>
      </c>
      <c r="D12" s="229" t="s">
        <v>194</v>
      </c>
      <c r="E12" s="133"/>
      <c r="F12" s="230">
        <v>2</v>
      </c>
      <c r="G12" s="231">
        <f t="shared" si="0"/>
        <v>0</v>
      </c>
      <c r="H12" s="231">
        <f t="shared" si="1"/>
        <v>0</v>
      </c>
      <c r="I12" s="231">
        <v>0</v>
      </c>
      <c r="J12" s="231">
        <f t="shared" ref="J12:J35" si="4">$C$17*$C$19*$C$12+($C$18*$C$20*$C$12*$C$33+$C$18*$C$21*$C$12*$C$34+$C$18*$C$19*$C$12*$C$35+$C$18*$C$22*$C$12*$C$36)</f>
        <v>13450031.753846155</v>
      </c>
      <c r="K12" s="231">
        <f t="shared" si="2"/>
        <v>4515892.3446153831</v>
      </c>
      <c r="L12" s="231">
        <f t="shared" si="3"/>
        <v>5747499.347692308</v>
      </c>
      <c r="M12" s="231"/>
      <c r="N12" s="231"/>
      <c r="O12" s="231">
        <f t="shared" ref="O12:O26" si="5">(H12+J12+L12+N12)-(G12+I12+K12+M12)</f>
        <v>14681638.756923081</v>
      </c>
      <c r="P12" s="133"/>
    </row>
    <row r="13" spans="1:16">
      <c r="A13" s="133"/>
      <c r="B13" s="131" t="s">
        <v>100</v>
      </c>
      <c r="C13" s="238">
        <f>'Sc0-CBA'!C14</f>
        <v>104</v>
      </c>
      <c r="D13" s="229" t="s">
        <v>101</v>
      </c>
      <c r="E13" s="133"/>
      <c r="F13" s="230">
        <v>3</v>
      </c>
      <c r="G13" s="231">
        <f t="shared" si="0"/>
        <v>0</v>
      </c>
      <c r="H13" s="231">
        <f t="shared" si="1"/>
        <v>0</v>
      </c>
      <c r="I13" s="231">
        <v>0</v>
      </c>
      <c r="J13" s="231">
        <f t="shared" si="4"/>
        <v>13450031.753846155</v>
      </c>
      <c r="K13" s="231">
        <f t="shared" si="2"/>
        <v>4515892.3446153831</v>
      </c>
      <c r="L13" s="231">
        <f t="shared" si="3"/>
        <v>5747499.347692308</v>
      </c>
      <c r="M13" s="231"/>
      <c r="N13" s="231"/>
      <c r="O13" s="231">
        <f t="shared" si="5"/>
        <v>14681638.756923081</v>
      </c>
      <c r="P13" s="133"/>
    </row>
    <row r="14" spans="1:16">
      <c r="A14" s="133"/>
      <c r="B14" s="131" t="s">
        <v>102</v>
      </c>
      <c r="C14" s="238">
        <f>'Sc0-CBA'!C15</f>
        <v>4070</v>
      </c>
      <c r="D14" s="229" t="s">
        <v>101</v>
      </c>
      <c r="E14" s="133"/>
      <c r="F14" s="230">
        <v>4</v>
      </c>
      <c r="G14" s="231">
        <f t="shared" si="0"/>
        <v>0</v>
      </c>
      <c r="H14" s="231">
        <f t="shared" si="1"/>
        <v>0</v>
      </c>
      <c r="I14" s="231">
        <v>0</v>
      </c>
      <c r="J14" s="231">
        <f t="shared" si="4"/>
        <v>13450031.753846155</v>
      </c>
      <c r="K14" s="231">
        <f t="shared" si="2"/>
        <v>4515892.3446153831</v>
      </c>
      <c r="L14" s="231">
        <f t="shared" si="3"/>
        <v>5747499.347692308</v>
      </c>
      <c r="M14" s="231"/>
      <c r="N14" s="231"/>
      <c r="O14" s="231">
        <f t="shared" si="5"/>
        <v>14681638.756923081</v>
      </c>
      <c r="P14" s="133"/>
    </row>
    <row r="15" spans="1:16">
      <c r="A15" s="133"/>
      <c r="B15" s="131" t="s">
        <v>125</v>
      </c>
      <c r="C15" s="239">
        <f>'Sc1 Medium-CBA'!C16</f>
        <v>0.56000000000000005</v>
      </c>
      <c r="D15" s="229" t="s">
        <v>104</v>
      </c>
      <c r="E15" s="133"/>
      <c r="F15" s="230">
        <v>5</v>
      </c>
      <c r="G15" s="231">
        <f t="shared" si="0"/>
        <v>0</v>
      </c>
      <c r="H15" s="231">
        <f t="shared" si="1"/>
        <v>0</v>
      </c>
      <c r="I15" s="231">
        <v>0</v>
      </c>
      <c r="J15" s="231">
        <f t="shared" si="4"/>
        <v>13450031.753846155</v>
      </c>
      <c r="K15" s="231">
        <f t="shared" si="2"/>
        <v>4515892.3446153831</v>
      </c>
      <c r="L15" s="231">
        <f t="shared" si="3"/>
        <v>5747499.347692308</v>
      </c>
      <c r="M15" s="231"/>
      <c r="N15" s="231"/>
      <c r="O15" s="231">
        <f t="shared" si="5"/>
        <v>14681638.756923081</v>
      </c>
      <c r="P15" s="133"/>
    </row>
    <row r="16" spans="1:16">
      <c r="A16" s="133"/>
      <c r="B16" s="131" t="s">
        <v>127</v>
      </c>
      <c r="C16" s="239">
        <f>'Sc1 Medium-CBA'!C17</f>
        <v>0.56000000000000005</v>
      </c>
      <c r="D16" s="229" t="s">
        <v>104</v>
      </c>
      <c r="E16" s="133"/>
      <c r="F16" s="230">
        <v>6</v>
      </c>
      <c r="G16" s="231">
        <f t="shared" si="0"/>
        <v>0</v>
      </c>
      <c r="H16" s="231">
        <f t="shared" si="1"/>
        <v>0</v>
      </c>
      <c r="I16" s="231">
        <v>0</v>
      </c>
      <c r="J16" s="231">
        <f t="shared" si="4"/>
        <v>13450031.753846155</v>
      </c>
      <c r="K16" s="231">
        <f t="shared" si="2"/>
        <v>4515892.3446153831</v>
      </c>
      <c r="L16" s="231">
        <f t="shared" si="3"/>
        <v>5747499.347692308</v>
      </c>
      <c r="M16" s="231"/>
      <c r="N16" s="231"/>
      <c r="O16" s="231">
        <f t="shared" si="5"/>
        <v>14681638.756923081</v>
      </c>
      <c r="P16" s="133"/>
    </row>
    <row r="17" spans="2:15">
      <c r="B17" s="131" t="s">
        <v>154</v>
      </c>
      <c r="C17" s="238">
        <f>C13*C15</f>
        <v>58.240000000000009</v>
      </c>
      <c r="D17" s="229" t="s">
        <v>101</v>
      </c>
      <c r="E17" s="133"/>
      <c r="F17" s="230">
        <v>7</v>
      </c>
      <c r="G17" s="231">
        <f t="shared" si="0"/>
        <v>0</v>
      </c>
      <c r="H17" s="231">
        <f t="shared" si="1"/>
        <v>0</v>
      </c>
      <c r="I17" s="231">
        <v>0</v>
      </c>
      <c r="J17" s="231">
        <f t="shared" si="4"/>
        <v>13450031.753846155</v>
      </c>
      <c r="K17" s="231">
        <f t="shared" si="2"/>
        <v>4515892.3446153831</v>
      </c>
      <c r="L17" s="231">
        <f t="shared" si="3"/>
        <v>5747499.347692308</v>
      </c>
      <c r="M17" s="231"/>
      <c r="N17" s="231"/>
      <c r="O17" s="231">
        <f t="shared" si="5"/>
        <v>14681638.756923081</v>
      </c>
    </row>
    <row r="18" spans="2:15">
      <c r="B18" s="131" t="s">
        <v>155</v>
      </c>
      <c r="C18" s="238">
        <f>C14*C16</f>
        <v>2279.2000000000003</v>
      </c>
      <c r="D18" s="229" t="s">
        <v>101</v>
      </c>
      <c r="E18" s="133"/>
      <c r="F18" s="230">
        <v>8</v>
      </c>
      <c r="G18" s="231">
        <f t="shared" si="0"/>
        <v>0</v>
      </c>
      <c r="H18" s="231">
        <f t="shared" si="1"/>
        <v>0</v>
      </c>
      <c r="I18" s="231">
        <v>0</v>
      </c>
      <c r="J18" s="231">
        <f t="shared" si="4"/>
        <v>13450031.753846155</v>
      </c>
      <c r="K18" s="231">
        <f t="shared" si="2"/>
        <v>4515892.3446153831</v>
      </c>
      <c r="L18" s="231">
        <f t="shared" si="3"/>
        <v>5747499.347692308</v>
      </c>
      <c r="M18" s="231"/>
      <c r="N18" s="231"/>
      <c r="O18" s="231">
        <f t="shared" si="5"/>
        <v>14681638.756923081</v>
      </c>
    </row>
    <row r="19" spans="2:15">
      <c r="B19" s="131" t="s">
        <v>113</v>
      </c>
      <c r="C19" s="271">
        <f>'Energy prices'!$D$6/1000</f>
        <v>0.21199999999999999</v>
      </c>
      <c r="D19" s="229" t="s">
        <v>114</v>
      </c>
      <c r="E19" s="133"/>
      <c r="F19" s="230">
        <v>9</v>
      </c>
      <c r="G19" s="231">
        <f t="shared" si="0"/>
        <v>0</v>
      </c>
      <c r="H19" s="231">
        <f t="shared" si="1"/>
        <v>0</v>
      </c>
      <c r="I19" s="231">
        <v>0</v>
      </c>
      <c r="J19" s="231">
        <f t="shared" si="4"/>
        <v>13450031.753846155</v>
      </c>
      <c r="K19" s="231">
        <f t="shared" si="2"/>
        <v>4515892.3446153831</v>
      </c>
      <c r="L19" s="231">
        <f t="shared" si="3"/>
        <v>5747499.347692308</v>
      </c>
      <c r="M19" s="231"/>
      <c r="N19" s="231"/>
      <c r="O19" s="231">
        <f t="shared" si="5"/>
        <v>14681638.756923081</v>
      </c>
    </row>
    <row r="20" spans="2:15">
      <c r="B20" s="131" t="str">
        <f>'Sc0-SCBA'!B25</f>
        <v>Natural gas price</v>
      </c>
      <c r="C20" s="271">
        <f>'Sc0-SCBA'!C25</f>
        <v>9.4E-2</v>
      </c>
      <c r="D20" s="229" t="s">
        <v>114</v>
      </c>
      <c r="E20" s="133"/>
      <c r="F20" s="230">
        <v>10</v>
      </c>
      <c r="G20" s="231">
        <f t="shared" si="0"/>
        <v>0</v>
      </c>
      <c r="H20" s="231">
        <f t="shared" si="1"/>
        <v>0</v>
      </c>
      <c r="I20" s="231">
        <v>0</v>
      </c>
      <c r="J20" s="231">
        <f t="shared" si="4"/>
        <v>13450031.753846155</v>
      </c>
      <c r="K20" s="231">
        <f t="shared" si="2"/>
        <v>4515892.3446153831</v>
      </c>
      <c r="L20" s="231">
        <f t="shared" si="3"/>
        <v>5747499.347692308</v>
      </c>
      <c r="M20" s="231"/>
      <c r="N20" s="231"/>
      <c r="O20" s="231">
        <f t="shared" si="5"/>
        <v>14681638.756923081</v>
      </c>
    </row>
    <row r="21" spans="2:15">
      <c r="B21" s="131" t="str">
        <f>'Sc0-CBA'!B27</f>
        <v>Petroleum price</v>
      </c>
      <c r="C21" s="271">
        <f>'Energy prices'!C7/1000</f>
        <v>0.11</v>
      </c>
      <c r="D21" s="229" t="s">
        <v>114</v>
      </c>
      <c r="E21" s="133"/>
      <c r="F21" s="230">
        <v>11</v>
      </c>
      <c r="G21" s="231">
        <f t="shared" ref="G21:G22" si="6">$C$24</f>
        <v>0</v>
      </c>
      <c r="H21" s="231">
        <f t="shared" ref="H21:H22" si="7">$C$23</f>
        <v>0</v>
      </c>
      <c r="I21" s="231">
        <v>0</v>
      </c>
      <c r="J21" s="231">
        <f t="shared" si="4"/>
        <v>13450031.753846155</v>
      </c>
      <c r="K21" s="231">
        <f t="shared" si="2"/>
        <v>4515892.3446153831</v>
      </c>
      <c r="L21" s="231">
        <f t="shared" si="3"/>
        <v>5747499.347692308</v>
      </c>
      <c r="M21" s="231"/>
      <c r="N21" s="231"/>
      <c r="O21" s="231">
        <f t="shared" si="5"/>
        <v>14681638.756923081</v>
      </c>
    </row>
    <row r="22" spans="2:15">
      <c r="B22" s="131" t="s">
        <v>122</v>
      </c>
      <c r="C22" s="271">
        <f>'Energy prices'!C10/1000</f>
        <v>1.7000000000000001E-2</v>
      </c>
      <c r="D22" s="229" t="s">
        <v>114</v>
      </c>
      <c r="E22" s="133"/>
      <c r="F22" s="230">
        <v>12</v>
      </c>
      <c r="G22" s="231">
        <f t="shared" si="6"/>
        <v>0</v>
      </c>
      <c r="H22" s="231">
        <f t="shared" si="7"/>
        <v>0</v>
      </c>
      <c r="I22" s="231">
        <v>0</v>
      </c>
      <c r="J22" s="231">
        <f t="shared" si="4"/>
        <v>13450031.753846155</v>
      </c>
      <c r="K22" s="231">
        <f t="shared" si="2"/>
        <v>4515892.3446153831</v>
      </c>
      <c r="L22" s="231">
        <f t="shared" si="3"/>
        <v>5747499.347692308</v>
      </c>
      <c r="M22" s="231"/>
      <c r="N22" s="231"/>
      <c r="O22" s="231">
        <f t="shared" si="5"/>
        <v>14681638.756923081</v>
      </c>
    </row>
    <row r="23" spans="2:15">
      <c r="B23" s="131" t="s">
        <v>118</v>
      </c>
      <c r="C23" s="238">
        <v>0</v>
      </c>
      <c r="D23" s="229" t="s">
        <v>86</v>
      </c>
      <c r="E23" s="133"/>
      <c r="F23" s="230">
        <v>13</v>
      </c>
      <c r="G23" s="231">
        <f t="shared" ref="G23:G30" si="8">$C$24</f>
        <v>0</v>
      </c>
      <c r="H23" s="231">
        <f t="shared" ref="H23:H30" si="9">$C$23</f>
        <v>0</v>
      </c>
      <c r="I23" s="231">
        <v>0</v>
      </c>
      <c r="J23" s="231">
        <f t="shared" si="4"/>
        <v>13450031.753846155</v>
      </c>
      <c r="K23" s="231">
        <f t="shared" si="2"/>
        <v>4515892.3446153831</v>
      </c>
      <c r="L23" s="231">
        <f t="shared" si="3"/>
        <v>5747499.347692308</v>
      </c>
      <c r="M23" s="231"/>
      <c r="N23" s="231"/>
      <c r="O23" s="231">
        <f t="shared" si="5"/>
        <v>14681638.756923081</v>
      </c>
    </row>
    <row r="24" spans="2:15">
      <c r="B24" s="131" t="s">
        <v>119</v>
      </c>
      <c r="C24" s="238">
        <v>0</v>
      </c>
      <c r="D24" s="229" t="s">
        <v>86</v>
      </c>
      <c r="E24" s="133"/>
      <c r="F24" s="230">
        <v>14</v>
      </c>
      <c r="G24" s="231">
        <f t="shared" si="8"/>
        <v>0</v>
      </c>
      <c r="H24" s="231">
        <f t="shared" si="9"/>
        <v>0</v>
      </c>
      <c r="I24" s="231">
        <v>0</v>
      </c>
      <c r="J24" s="231">
        <f t="shared" si="4"/>
        <v>13450031.753846155</v>
      </c>
      <c r="K24" s="231">
        <f t="shared" si="2"/>
        <v>4515892.3446153831</v>
      </c>
      <c r="L24" s="231">
        <f t="shared" si="3"/>
        <v>5747499.347692308</v>
      </c>
      <c r="M24" s="231"/>
      <c r="N24" s="231"/>
      <c r="O24" s="231">
        <f t="shared" si="5"/>
        <v>14681638.756923081</v>
      </c>
    </row>
    <row r="25" spans="2:15">
      <c r="B25" s="131" t="s">
        <v>93</v>
      </c>
      <c r="C25" s="239">
        <v>0.1</v>
      </c>
      <c r="D25" s="229" t="s">
        <v>195</v>
      </c>
      <c r="E25" s="133"/>
      <c r="F25" s="230">
        <v>15</v>
      </c>
      <c r="G25" s="231">
        <f t="shared" si="8"/>
        <v>0</v>
      </c>
      <c r="H25" s="231">
        <f t="shared" si="9"/>
        <v>0</v>
      </c>
      <c r="I25" s="231">
        <v>0</v>
      </c>
      <c r="J25" s="231">
        <f t="shared" si="4"/>
        <v>13450031.753846155</v>
      </c>
      <c r="K25" s="231">
        <f t="shared" si="2"/>
        <v>4515892.3446153831</v>
      </c>
      <c r="L25" s="231">
        <f t="shared" si="3"/>
        <v>5747499.347692308</v>
      </c>
      <c r="M25" s="231"/>
      <c r="N25" s="231"/>
      <c r="O25" s="231">
        <f t="shared" si="5"/>
        <v>14681638.756923081</v>
      </c>
    </row>
    <row r="26" spans="2:15">
      <c r="B26" s="131" t="s">
        <v>121</v>
      </c>
      <c r="C26" s="239">
        <v>0.03</v>
      </c>
      <c r="D26" s="229" t="s">
        <v>104</v>
      </c>
      <c r="E26" s="133"/>
      <c r="F26" s="230">
        <v>16</v>
      </c>
      <c r="G26" s="231">
        <f t="shared" si="8"/>
        <v>0</v>
      </c>
      <c r="H26" s="231">
        <f t="shared" si="9"/>
        <v>0</v>
      </c>
      <c r="I26" s="231">
        <v>0</v>
      </c>
      <c r="J26" s="231">
        <f t="shared" si="4"/>
        <v>13450031.753846155</v>
      </c>
      <c r="K26" s="231">
        <f t="shared" si="2"/>
        <v>4515892.3446153831</v>
      </c>
      <c r="L26" s="231">
        <f t="shared" si="3"/>
        <v>5747499.347692308</v>
      </c>
      <c r="M26" s="231"/>
      <c r="N26" s="231"/>
      <c r="O26" s="231">
        <f t="shared" si="5"/>
        <v>14681638.756923081</v>
      </c>
    </row>
    <row r="27" spans="2:15">
      <c r="B27" s="133"/>
      <c r="C27" s="249"/>
      <c r="D27" s="133"/>
      <c r="E27" s="133"/>
      <c r="F27" s="230">
        <v>17</v>
      </c>
      <c r="G27" s="231">
        <f t="shared" si="8"/>
        <v>0</v>
      </c>
      <c r="H27" s="231">
        <f t="shared" si="9"/>
        <v>0</v>
      </c>
      <c r="I27" s="231">
        <v>0</v>
      </c>
      <c r="J27" s="231">
        <f t="shared" si="4"/>
        <v>13450031.753846155</v>
      </c>
      <c r="K27" s="231">
        <f t="shared" si="2"/>
        <v>4515892.3446153831</v>
      </c>
      <c r="L27" s="231">
        <f t="shared" si="3"/>
        <v>5747499.347692308</v>
      </c>
      <c r="M27" s="231"/>
      <c r="N27" s="231"/>
      <c r="O27" s="231">
        <f>(H27+J27+L27+N27)-(G27+I27+K27+M27)</f>
        <v>14681638.756923081</v>
      </c>
    </row>
    <row r="28" spans="2:15">
      <c r="B28" s="135" t="s">
        <v>133</v>
      </c>
      <c r="C28" s="156">
        <f>NPV(C26,O11:O35)+O10</f>
        <v>142004464.74478471</v>
      </c>
      <c r="D28" s="133"/>
      <c r="E28" s="133"/>
      <c r="F28" s="230">
        <v>18</v>
      </c>
      <c r="G28" s="231">
        <f t="shared" si="8"/>
        <v>0</v>
      </c>
      <c r="H28" s="231">
        <f t="shared" si="9"/>
        <v>0</v>
      </c>
      <c r="I28" s="231">
        <v>0</v>
      </c>
      <c r="J28" s="231">
        <f t="shared" si="4"/>
        <v>13450031.753846155</v>
      </c>
      <c r="K28" s="231">
        <f t="shared" si="2"/>
        <v>4515892.3446153831</v>
      </c>
      <c r="L28" s="231">
        <f t="shared" si="3"/>
        <v>5747499.347692308</v>
      </c>
      <c r="M28" s="231"/>
      <c r="N28" s="231"/>
      <c r="O28" s="231">
        <f t="shared" ref="O28:O35" si="10">(H28+J28+L28+N28)-(G28+I28+K28+M28)</f>
        <v>14681638.756923081</v>
      </c>
    </row>
    <row r="29" spans="2:15">
      <c r="B29" s="135" t="s">
        <v>134</v>
      </c>
      <c r="C29" s="157">
        <f>IRR(O10:O35)</f>
        <v>0.12190025985490949</v>
      </c>
      <c r="D29" s="133"/>
      <c r="E29" s="133"/>
      <c r="F29" s="230">
        <v>19</v>
      </c>
      <c r="G29" s="231">
        <f t="shared" si="8"/>
        <v>0</v>
      </c>
      <c r="H29" s="231">
        <f t="shared" si="9"/>
        <v>0</v>
      </c>
      <c r="I29" s="231">
        <v>0</v>
      </c>
      <c r="J29" s="231">
        <f t="shared" si="4"/>
        <v>13450031.753846155</v>
      </c>
      <c r="K29" s="231">
        <f t="shared" si="2"/>
        <v>4515892.3446153831</v>
      </c>
      <c r="L29" s="231">
        <f t="shared" si="3"/>
        <v>5747499.347692308</v>
      </c>
      <c r="M29" s="231"/>
      <c r="N29" s="231"/>
      <c r="O29" s="231">
        <f t="shared" si="10"/>
        <v>14681638.756923081</v>
      </c>
    </row>
    <row r="30" spans="2:15">
      <c r="B30" s="135" t="s">
        <v>135</v>
      </c>
      <c r="C30" s="158">
        <f>(H36+J36+L36)/(G36+I36+K36)</f>
        <v>9.9525004818882756</v>
      </c>
      <c r="D30" s="133"/>
      <c r="E30" s="133"/>
      <c r="F30" s="230">
        <v>20</v>
      </c>
      <c r="G30" s="231">
        <f t="shared" si="8"/>
        <v>0</v>
      </c>
      <c r="H30" s="231">
        <f t="shared" si="9"/>
        <v>0</v>
      </c>
      <c r="I30" s="231">
        <v>0</v>
      </c>
      <c r="J30" s="231">
        <f t="shared" si="4"/>
        <v>13450031.753846155</v>
      </c>
      <c r="K30" s="231">
        <f t="shared" si="2"/>
        <v>4515892.3446153831</v>
      </c>
      <c r="L30" s="231">
        <f t="shared" si="3"/>
        <v>5747499.347692308</v>
      </c>
      <c r="M30" s="231"/>
      <c r="N30" s="231"/>
      <c r="O30" s="231">
        <f t="shared" si="10"/>
        <v>14681638.756923081</v>
      </c>
    </row>
    <row r="31" spans="2:15">
      <c r="B31" s="153"/>
      <c r="C31" s="159"/>
      <c r="D31" s="133"/>
      <c r="E31" s="133"/>
      <c r="F31" s="230">
        <v>21</v>
      </c>
      <c r="G31" s="231">
        <f t="shared" ref="G31:G35" si="11">$C$24</f>
        <v>0</v>
      </c>
      <c r="H31" s="231">
        <f t="shared" ref="H31:H35" si="12">$C$23</f>
        <v>0</v>
      </c>
      <c r="I31" s="231">
        <v>0</v>
      </c>
      <c r="J31" s="231">
        <f t="shared" si="4"/>
        <v>13450031.753846155</v>
      </c>
      <c r="K31" s="231">
        <f t="shared" si="2"/>
        <v>4515892.3446153831</v>
      </c>
      <c r="L31" s="231">
        <f t="shared" si="3"/>
        <v>5747499.347692308</v>
      </c>
      <c r="M31" s="231"/>
      <c r="N31" s="231"/>
      <c r="O31" s="231">
        <f t="shared" si="10"/>
        <v>14681638.756923081</v>
      </c>
    </row>
    <row r="32" spans="2:15">
      <c r="B32" s="160" t="str">
        <f>'Sc0-CBA'!G32</f>
        <v>Fuel share per households in the region</v>
      </c>
      <c r="C32" s="242"/>
      <c r="D32" s="133"/>
      <c r="E32" s="133"/>
      <c r="F32" s="230">
        <v>22</v>
      </c>
      <c r="G32" s="231">
        <f t="shared" si="11"/>
        <v>0</v>
      </c>
      <c r="H32" s="231">
        <f t="shared" si="12"/>
        <v>0</v>
      </c>
      <c r="I32" s="231">
        <v>0</v>
      </c>
      <c r="J32" s="231">
        <f t="shared" si="4"/>
        <v>13450031.753846155</v>
      </c>
      <c r="K32" s="231">
        <f t="shared" si="2"/>
        <v>4515892.3446153831</v>
      </c>
      <c r="L32" s="231">
        <f t="shared" si="3"/>
        <v>5747499.347692308</v>
      </c>
      <c r="M32" s="231"/>
      <c r="N32" s="231"/>
      <c r="O32" s="231">
        <f t="shared" si="10"/>
        <v>14681638.756923081</v>
      </c>
    </row>
    <row r="33" spans="2:15">
      <c r="B33" s="246" t="str">
        <f>'Sc0-CBA'!G33</f>
        <v>Natural gas</v>
      </c>
      <c r="C33" s="272">
        <f>'Sc0-CBA'!H33</f>
        <v>0.48</v>
      </c>
      <c r="D33" s="133"/>
      <c r="E33" s="133"/>
      <c r="F33" s="230">
        <v>23</v>
      </c>
      <c r="G33" s="231">
        <f t="shared" si="11"/>
        <v>0</v>
      </c>
      <c r="H33" s="231">
        <f t="shared" si="12"/>
        <v>0</v>
      </c>
      <c r="I33" s="231">
        <v>0</v>
      </c>
      <c r="J33" s="231">
        <f t="shared" si="4"/>
        <v>13450031.753846155</v>
      </c>
      <c r="K33" s="231">
        <f t="shared" si="2"/>
        <v>4515892.3446153831</v>
      </c>
      <c r="L33" s="231">
        <f t="shared" si="3"/>
        <v>5747499.347692308</v>
      </c>
      <c r="M33" s="231"/>
      <c r="N33" s="231"/>
      <c r="O33" s="231">
        <f t="shared" si="10"/>
        <v>14681638.756923081</v>
      </c>
    </row>
    <row r="34" spans="2:15">
      <c r="B34" s="246" t="str">
        <f>'Sc0-CBA'!G34</f>
        <v>Petroleum derivatives</v>
      </c>
      <c r="C34" s="272">
        <f>'Sc0-CBA'!H34</f>
        <v>0.2</v>
      </c>
      <c r="D34" s="133"/>
      <c r="E34" s="133"/>
      <c r="F34" s="230">
        <v>24</v>
      </c>
      <c r="G34" s="231">
        <f t="shared" si="11"/>
        <v>0</v>
      </c>
      <c r="H34" s="231">
        <f t="shared" si="12"/>
        <v>0</v>
      </c>
      <c r="I34" s="231">
        <v>0</v>
      </c>
      <c r="J34" s="231">
        <f t="shared" si="4"/>
        <v>13450031.753846155</v>
      </c>
      <c r="K34" s="231">
        <f t="shared" si="2"/>
        <v>4515892.3446153831</v>
      </c>
      <c r="L34" s="231">
        <f t="shared" si="3"/>
        <v>5747499.347692308</v>
      </c>
      <c r="M34" s="231"/>
      <c r="N34" s="231"/>
      <c r="O34" s="231">
        <f t="shared" si="10"/>
        <v>14681638.756923081</v>
      </c>
    </row>
    <row r="35" spans="2:15">
      <c r="B35" s="246" t="s">
        <v>128</v>
      </c>
      <c r="C35" s="272">
        <f>'Sc0-CBA'!H35</f>
        <v>0.19</v>
      </c>
      <c r="D35" s="133"/>
      <c r="E35" s="133"/>
      <c r="F35" s="230">
        <v>25</v>
      </c>
      <c r="G35" s="231">
        <f t="shared" si="11"/>
        <v>0</v>
      </c>
      <c r="H35" s="231">
        <f t="shared" si="12"/>
        <v>0</v>
      </c>
      <c r="I35" s="231">
        <v>0</v>
      </c>
      <c r="J35" s="231">
        <f t="shared" si="4"/>
        <v>13450031.753846155</v>
      </c>
      <c r="K35" s="231">
        <f t="shared" si="2"/>
        <v>4515892.3446153831</v>
      </c>
      <c r="L35" s="231">
        <f t="shared" si="3"/>
        <v>5747499.347692308</v>
      </c>
      <c r="M35" s="231"/>
      <c r="N35" s="231"/>
      <c r="O35" s="231">
        <f t="shared" si="10"/>
        <v>14681638.756923081</v>
      </c>
    </row>
    <row r="36" spans="2:15">
      <c r="B36" s="246" t="s">
        <v>78</v>
      </c>
      <c r="C36" s="272">
        <f>'Sc0-CBA'!H36</f>
        <v>0</v>
      </c>
      <c r="D36" s="133"/>
      <c r="E36" s="133"/>
      <c r="F36" s="134" t="s">
        <v>116</v>
      </c>
      <c r="G36" s="161">
        <f>NPV($C$26,G11:G35)+G10</f>
        <v>0</v>
      </c>
      <c r="H36" s="161">
        <f t="shared" ref="H36:O36" si="13">NPV($C$26,H11:H35)+H10</f>
        <v>0</v>
      </c>
      <c r="I36" s="161">
        <f t="shared" si="13"/>
        <v>0</v>
      </c>
      <c r="J36" s="161">
        <f t="shared" si="13"/>
        <v>234207389.38210216</v>
      </c>
      <c r="K36" s="161">
        <f t="shared" si="13"/>
        <v>78635900.354699403</v>
      </c>
      <c r="L36" s="161">
        <f t="shared" si="13"/>
        <v>548416446.79176211</v>
      </c>
      <c r="M36" s="161">
        <f t="shared" si="13"/>
        <v>561983471.07438016</v>
      </c>
      <c r="N36" s="161">
        <f t="shared" si="13"/>
        <v>0</v>
      </c>
      <c r="O36" s="161">
        <f t="shared" si="13"/>
        <v>142004464.74478471</v>
      </c>
    </row>
    <row r="37" spans="2:15">
      <c r="B37" s="246" t="s">
        <v>81</v>
      </c>
      <c r="C37" s="272">
        <f>'Sc0-CBA'!H37</f>
        <v>0.12</v>
      </c>
      <c r="D37" s="133"/>
      <c r="E37" s="133"/>
      <c r="F37" s="162"/>
      <c r="G37" s="163"/>
      <c r="H37" s="163"/>
      <c r="I37" s="163"/>
      <c r="J37" s="163"/>
      <c r="K37" s="163"/>
      <c r="L37" s="163"/>
      <c r="M37" s="163"/>
      <c r="N37" s="163"/>
      <c r="O37" s="163"/>
    </row>
    <row r="38" spans="2:15">
      <c r="B38" s="246" t="s">
        <v>116</v>
      </c>
      <c r="C38" s="272">
        <f>SUM(C33:C37)</f>
        <v>0.98999999999999988</v>
      </c>
      <c r="D38" s="133"/>
      <c r="E38" s="133"/>
      <c r="F38" s="133"/>
      <c r="G38" s="133"/>
      <c r="H38" s="133"/>
      <c r="I38" s="133"/>
      <c r="J38" s="133"/>
      <c r="K38" s="133"/>
      <c r="L38" s="133"/>
      <c r="M38" s="133"/>
      <c r="N38" s="133"/>
      <c r="O38" s="133"/>
    </row>
    <row r="40" spans="2:15">
      <c r="B40" s="131" t="s">
        <v>156</v>
      </c>
      <c r="C40" s="238">
        <v>1</v>
      </c>
      <c r="D40" s="229" t="s">
        <v>157</v>
      </c>
      <c r="E40" s="133"/>
      <c r="F40" s="133"/>
      <c r="G40" s="133"/>
      <c r="H40" s="133"/>
      <c r="I40" s="133"/>
      <c r="J40" s="133"/>
      <c r="K40" s="133"/>
      <c r="L40" s="133"/>
      <c r="M40" s="133"/>
      <c r="N40" s="133"/>
      <c r="O40" s="133"/>
    </row>
    <row r="41" spans="2:15">
      <c r="B41" s="131" t="s">
        <v>158</v>
      </c>
      <c r="C41" s="258">
        <v>2</v>
      </c>
      <c r="D41" s="229" t="s">
        <v>159</v>
      </c>
      <c r="E41" s="133"/>
      <c r="F41" s="133"/>
      <c r="G41" s="133"/>
      <c r="H41" s="133"/>
      <c r="I41" s="133"/>
      <c r="J41" s="133"/>
      <c r="K41" s="133"/>
      <c r="L41" s="133"/>
      <c r="M41" s="133"/>
      <c r="N41" s="133"/>
      <c r="O41" s="133"/>
    </row>
    <row r="42" spans="2:15">
      <c r="B42" s="131" t="s">
        <v>160</v>
      </c>
      <c r="C42" s="144">
        <v>0</v>
      </c>
      <c r="D42" s="259" t="s">
        <v>161</v>
      </c>
      <c r="E42" s="133"/>
      <c r="F42" s="133"/>
      <c r="G42" s="133"/>
      <c r="H42" s="133"/>
      <c r="I42" s="133"/>
      <c r="J42" s="133"/>
      <c r="K42" s="133"/>
      <c r="L42" s="133"/>
      <c r="M42" s="133"/>
      <c r="N42" s="133"/>
      <c r="O42" s="133"/>
    </row>
    <row r="45" spans="2:15">
      <c r="B45" s="145" t="s">
        <v>162</v>
      </c>
      <c r="C45" s="249"/>
      <c r="D45" s="133"/>
      <c r="E45" s="133"/>
      <c r="F45" s="133"/>
      <c r="G45" s="133"/>
      <c r="H45" s="133"/>
      <c r="I45" s="133"/>
      <c r="J45" s="133"/>
      <c r="K45" s="133"/>
      <c r="L45" s="133"/>
      <c r="M45" s="133"/>
      <c r="N45" s="133"/>
      <c r="O45" s="133"/>
    </row>
    <row r="46" spans="2:15">
      <c r="B46" s="216" t="s">
        <v>163</v>
      </c>
      <c r="C46" s="146" t="s">
        <v>164</v>
      </c>
      <c r="D46" s="133"/>
      <c r="E46" s="133"/>
      <c r="F46" s="133"/>
      <c r="G46" s="133"/>
      <c r="H46" s="133"/>
      <c r="I46" s="133"/>
      <c r="J46" s="133"/>
      <c r="K46" s="133"/>
      <c r="L46" s="133"/>
      <c r="M46" s="133"/>
      <c r="N46" s="133"/>
      <c r="O46" s="133"/>
    </row>
    <row r="47" spans="2:15">
      <c r="B47" s="217"/>
      <c r="C47" s="146" t="s">
        <v>165</v>
      </c>
      <c r="D47" s="133"/>
      <c r="E47" s="133"/>
      <c r="F47" s="133"/>
      <c r="G47" s="133"/>
      <c r="H47" s="133"/>
      <c r="I47" s="133"/>
      <c r="J47" s="133"/>
      <c r="K47" s="133"/>
      <c r="L47" s="133"/>
      <c r="M47" s="133"/>
      <c r="N47" s="133"/>
      <c r="O47" s="133"/>
    </row>
    <row r="48" spans="2:15">
      <c r="B48" s="147" t="s">
        <v>166</v>
      </c>
      <c r="C48" s="273">
        <f>externalities!D25</f>
        <v>51</v>
      </c>
      <c r="D48" s="133"/>
      <c r="E48" s="133"/>
      <c r="F48" s="133"/>
      <c r="G48" s="133"/>
      <c r="H48" s="133"/>
      <c r="I48" s="133"/>
      <c r="J48" s="133"/>
      <c r="K48" s="133"/>
      <c r="L48" s="133"/>
      <c r="M48" s="133"/>
      <c r="N48" s="133"/>
      <c r="O48" s="133"/>
    </row>
    <row r="49" spans="2:4">
      <c r="B49" s="147" t="s">
        <v>167</v>
      </c>
      <c r="C49" s="273">
        <f>externalities!D27</f>
        <v>43.4</v>
      </c>
      <c r="D49" s="133"/>
    </row>
    <row r="50" spans="2:4">
      <c r="B50" s="147" t="s">
        <v>168</v>
      </c>
      <c r="C50" s="273">
        <f>externalities!D22</f>
        <v>36</v>
      </c>
      <c r="D50" s="133"/>
    </row>
    <row r="51" spans="2:4">
      <c r="B51" s="147" t="s">
        <v>169</v>
      </c>
      <c r="C51" s="273">
        <f>externalities!D24</f>
        <v>32.200000000000003</v>
      </c>
      <c r="D51" s="133"/>
    </row>
    <row r="52" spans="2:4">
      <c r="B52" s="147" t="s">
        <v>170</v>
      </c>
      <c r="C52" s="273">
        <f>externalities!D17</f>
        <v>36</v>
      </c>
      <c r="D52" s="133"/>
    </row>
    <row r="53" spans="2:4">
      <c r="B53" s="147" t="s">
        <v>171</v>
      </c>
      <c r="C53" s="273">
        <f>externalities!D16</f>
        <v>21.8</v>
      </c>
      <c r="D53" s="133"/>
    </row>
    <row r="54" spans="2:4">
      <c r="B54" s="147" t="s">
        <v>172</v>
      </c>
      <c r="C54" s="273">
        <f>externalities!D19</f>
        <v>48.5</v>
      </c>
      <c r="D54" s="133"/>
    </row>
    <row r="55" spans="2:4">
      <c r="B55" s="147" t="s">
        <v>173</v>
      </c>
      <c r="C55" s="273">
        <f>externalities!D35</f>
        <v>24</v>
      </c>
      <c r="D55" s="133"/>
    </row>
    <row r="56" spans="2:4">
      <c r="B56" s="147" t="s">
        <v>174</v>
      </c>
      <c r="C56" s="273">
        <f>externalities!D31</f>
        <v>9.6</v>
      </c>
      <c r="D56" s="133"/>
    </row>
    <row r="57" spans="2:4">
      <c r="B57" s="147" t="s">
        <v>78</v>
      </c>
      <c r="C57" s="273">
        <f>externalities!D34</f>
        <v>174</v>
      </c>
      <c r="D57" s="133"/>
    </row>
    <row r="58" spans="2:4">
      <c r="B58" s="147" t="s">
        <v>175</v>
      </c>
      <c r="C58" s="273">
        <f>externalities!D18</f>
        <v>47</v>
      </c>
      <c r="D58" s="133"/>
    </row>
    <row r="59" spans="2:4">
      <c r="B59" s="147" t="str">
        <f>'Sc0-SCBA'!B63</f>
        <v>District heating (lignite)</v>
      </c>
      <c r="C59" s="273">
        <f>'Sc0-SCBA'!C63</f>
        <v>58</v>
      </c>
      <c r="D59" s="133"/>
    </row>
    <row r="61" spans="2:4">
      <c r="B61" s="145" t="s">
        <v>177</v>
      </c>
      <c r="C61" s="249"/>
      <c r="D61" s="133"/>
    </row>
    <row r="62" spans="2:4">
      <c r="B62" s="146" t="s">
        <v>178</v>
      </c>
      <c r="C62" s="261">
        <v>0.03</v>
      </c>
      <c r="D62" s="262"/>
    </row>
    <row r="63" spans="2:4">
      <c r="B63" s="146" t="s">
        <v>179</v>
      </c>
      <c r="C63" s="238">
        <f>C64+C65</f>
        <v>13450031.753846155</v>
      </c>
      <c r="D63" s="262" t="s">
        <v>86</v>
      </c>
    </row>
    <row r="64" spans="2:4">
      <c r="B64" s="148" t="s">
        <v>180</v>
      </c>
      <c r="C64" s="238">
        <f>J11-I11</f>
        <v>13450031.753846155</v>
      </c>
      <c r="D64" s="262" t="s">
        <v>86</v>
      </c>
    </row>
    <row r="65" spans="2:4">
      <c r="B65" s="148" t="s">
        <v>181</v>
      </c>
      <c r="C65" s="238">
        <f>H11-G11</f>
        <v>0</v>
      </c>
      <c r="D65" s="262" t="s">
        <v>86</v>
      </c>
    </row>
    <row r="66" spans="2:4">
      <c r="B66" s="131" t="s">
        <v>182</v>
      </c>
      <c r="C66" s="238">
        <f>IF(externalities!$C$12=1,C63/C62,0)</f>
        <v>448334391.79487187</v>
      </c>
      <c r="D66" s="262" t="s">
        <v>86</v>
      </c>
    </row>
    <row r="68" spans="2:4">
      <c r="B68" s="145" t="s">
        <v>183</v>
      </c>
      <c r="C68" s="249"/>
      <c r="D68" s="133"/>
    </row>
    <row r="69" spans="2:4">
      <c r="B69" s="149" t="s">
        <v>183</v>
      </c>
      <c r="C69" s="146" t="s">
        <v>164</v>
      </c>
      <c r="D69" s="150"/>
    </row>
    <row r="70" spans="2:4">
      <c r="B70" s="147" t="s">
        <v>184</v>
      </c>
      <c r="C70" s="151">
        <v>5</v>
      </c>
      <c r="D70" s="133"/>
    </row>
    <row r="71" spans="2:4">
      <c r="B71" s="147" t="s">
        <v>185</v>
      </c>
      <c r="C71" s="151">
        <v>4</v>
      </c>
      <c r="D71" s="133"/>
    </row>
    <row r="72" spans="2:4">
      <c r="B72" s="147" t="s">
        <v>186</v>
      </c>
      <c r="C72" s="151">
        <v>3</v>
      </c>
      <c r="D72" s="133"/>
    </row>
    <row r="73" spans="2:4">
      <c r="B73" s="147" t="s">
        <v>187</v>
      </c>
      <c r="C73" s="151">
        <v>2</v>
      </c>
      <c r="D73" s="133"/>
    </row>
    <row r="74" spans="2:4">
      <c r="B74" s="147" t="s">
        <v>188</v>
      </c>
      <c r="C74" s="151">
        <v>1</v>
      </c>
      <c r="D74" s="133"/>
    </row>
    <row r="76" spans="2:4">
      <c r="B76" s="151" t="s">
        <v>189</v>
      </c>
      <c r="C76" s="274">
        <f>(IF(C42=1,0.2,IF(C42=2,0.4,IF(C42=3,0.6,IF(C42=4,0.8,IF(C42=5,1,0))))))</f>
        <v>0</v>
      </c>
      <c r="D76" s="151" t="s">
        <v>190</v>
      </c>
    </row>
    <row r="77" spans="2:4">
      <c r="B77" s="151" t="s">
        <v>189</v>
      </c>
      <c r="C77" s="239">
        <v>0.1</v>
      </c>
      <c r="D77" s="151" t="s">
        <v>191</v>
      </c>
    </row>
    <row r="79" spans="2:4">
      <c r="B79" s="152" t="s">
        <v>192</v>
      </c>
      <c r="C79" s="275">
        <f>'Sc0-SCBA'!C83</f>
        <v>0.21</v>
      </c>
      <c r="D79" s="133"/>
    </row>
    <row r="80" spans="2:4">
      <c r="B80" s="133"/>
      <c r="C80" s="133"/>
      <c r="D80" s="133"/>
    </row>
    <row r="81" spans="2:3">
      <c r="B81" s="133"/>
      <c r="C81" s="133"/>
    </row>
    <row r="82" spans="2:3">
      <c r="B82" s="137"/>
      <c r="C82" s="133"/>
    </row>
  </sheetData>
  <sheetProtection algorithmName="SHA-512" hashValue="3G36NCAmIGDLaO36NktdvjynNRimy3oG+ToW+BMfXaCFELKt7Bv3r2LlsJJosZC4U+k/TBzzYgagS+6qimhqOA==" saltValue="ptA6B2qyMcErehenTl7cHA==" spinCount="100000" sheet="1" objects="1" scenarios="1" selectLockedCells="1"/>
  <mergeCells count="3">
    <mergeCell ref="B46:B47"/>
    <mergeCell ref="C1:N3"/>
    <mergeCell ref="B4:D4"/>
  </mergeCells>
  <pageMargins left="0.7" right="0.7" top="0.75" bottom="0.75" header="0.3" footer="0.3"/>
  <pageSetup orientation="portrait" horizontalDpi="4294967293" verticalDpi="4294967293"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60E56-7F32-42A3-AC01-B774DD3CD86D}">
  <sheetPr>
    <tabColor theme="9" tint="-0.499984740745262"/>
  </sheetPr>
  <dimension ref="A1:P51"/>
  <sheetViews>
    <sheetView zoomScale="60" zoomScaleNormal="60" workbookViewId="0">
      <selection activeCell="C9" sqref="C9"/>
    </sheetView>
  </sheetViews>
  <sheetFormatPr defaultColWidth="0" defaultRowHeight="14.1"/>
  <cols>
    <col min="1" max="1" width="3.5703125" style="121" customWidth="1"/>
    <col min="2" max="2" width="55.42578125" style="121" customWidth="1"/>
    <col min="3" max="3" width="20.5703125" style="136" customWidth="1"/>
    <col min="4" max="4" width="20.140625" style="121" bestFit="1" customWidth="1"/>
    <col min="5" max="6" width="8.85546875" style="121" customWidth="1"/>
    <col min="7" max="8" width="12" style="121" bestFit="1" customWidth="1"/>
    <col min="9" max="9" width="16.5703125" style="121" bestFit="1" customWidth="1"/>
    <col min="10" max="10" width="17" style="121" bestFit="1" customWidth="1"/>
    <col min="11" max="11" width="18.42578125" style="121" bestFit="1" customWidth="1"/>
    <col min="12" max="12" width="18.5703125" style="121" bestFit="1" customWidth="1"/>
    <col min="13" max="13" width="20" style="121" bestFit="1" customWidth="1"/>
    <col min="14" max="14" width="8.85546875" style="121" customWidth="1"/>
    <col min="15" max="16" width="0" style="121" hidden="1" customWidth="1"/>
    <col min="17" max="16384" width="8.85546875" style="121" hidden="1"/>
  </cols>
  <sheetData>
    <row r="1" spans="1:16" ht="14.1" customHeight="1">
      <c r="A1" s="133"/>
      <c r="B1" s="133"/>
      <c r="C1" s="219" t="s">
        <v>200</v>
      </c>
      <c r="D1" s="219"/>
      <c r="E1" s="219"/>
      <c r="F1" s="219"/>
      <c r="G1" s="219"/>
      <c r="H1" s="219"/>
      <c r="I1" s="219"/>
      <c r="J1" s="219"/>
      <c r="K1" s="219"/>
      <c r="L1" s="219"/>
      <c r="M1" s="219"/>
      <c r="N1" s="219"/>
      <c r="O1" s="133"/>
      <c r="P1" s="133"/>
    </row>
    <row r="2" spans="1:16" ht="14.1" customHeight="1">
      <c r="A2" s="133"/>
      <c r="B2" s="133"/>
      <c r="C2" s="219"/>
      <c r="D2" s="219"/>
      <c r="E2" s="219"/>
      <c r="F2" s="219"/>
      <c r="G2" s="219"/>
      <c r="H2" s="219"/>
      <c r="I2" s="219"/>
      <c r="J2" s="219"/>
      <c r="K2" s="219"/>
      <c r="L2" s="219"/>
      <c r="M2" s="219"/>
      <c r="N2" s="219"/>
      <c r="O2" s="133"/>
      <c r="P2" s="133"/>
    </row>
    <row r="3" spans="1:16" ht="14.1" customHeight="1">
      <c r="A3" s="133"/>
      <c r="B3" s="133"/>
      <c r="C3" s="219"/>
      <c r="D3" s="219"/>
      <c r="E3" s="219"/>
      <c r="F3" s="219"/>
      <c r="G3" s="219"/>
      <c r="H3" s="219"/>
      <c r="I3" s="219"/>
      <c r="J3" s="219"/>
      <c r="K3" s="219"/>
      <c r="L3" s="219"/>
      <c r="M3" s="219"/>
      <c r="N3" s="219"/>
      <c r="O3" s="133"/>
      <c r="P3" s="133"/>
    </row>
    <row r="4" spans="1:16" ht="14.45">
      <c r="A4" s="60"/>
      <c r="B4" s="214"/>
      <c r="C4" s="226"/>
      <c r="D4" s="226"/>
      <c r="E4" s="61"/>
      <c r="F4" s="62"/>
      <c r="G4" s="60"/>
      <c r="H4" s="63"/>
      <c r="I4" s="63"/>
      <c r="J4" s="61"/>
      <c r="K4" s="64"/>
      <c r="L4" s="64"/>
      <c r="M4" s="133"/>
      <c r="N4" s="133"/>
      <c r="O4" s="133"/>
      <c r="P4" s="133"/>
    </row>
    <row r="5" spans="1:16" ht="14.45">
      <c r="A5" s="122"/>
      <c r="B5" s="123"/>
      <c r="C5" s="124"/>
      <c r="D5" s="124"/>
      <c r="E5" s="125"/>
      <c r="F5" s="126"/>
      <c r="G5" s="122"/>
      <c r="H5" s="123"/>
      <c r="I5" s="123"/>
      <c r="J5" s="125"/>
      <c r="K5" s="126"/>
      <c r="L5" s="126"/>
      <c r="M5" s="133"/>
      <c r="N5" s="133"/>
      <c r="O5" s="133"/>
      <c r="P5" s="133"/>
    </row>
    <row r="6" spans="1:16" ht="15">
      <c r="A6" s="227"/>
      <c r="B6" s="127" t="s">
        <v>83</v>
      </c>
      <c r="C6" s="128" t="s">
        <v>84</v>
      </c>
      <c r="D6" s="128"/>
      <c r="E6" s="128"/>
      <c r="F6" s="128"/>
      <c r="G6" s="128"/>
      <c r="H6" s="129"/>
      <c r="I6" s="129"/>
      <c r="J6" s="129"/>
      <c r="K6" s="130"/>
      <c r="L6" s="228"/>
      <c r="M6" s="227"/>
      <c r="N6" s="227"/>
      <c r="O6" s="227"/>
      <c r="P6" s="227"/>
    </row>
    <row r="7" spans="1:16" ht="15">
      <c r="A7" s="227"/>
      <c r="B7" s="127"/>
      <c r="C7" s="128"/>
      <c r="D7" s="128"/>
      <c r="E7" s="128"/>
      <c r="F7" s="128"/>
      <c r="G7" s="128"/>
      <c r="H7" s="129"/>
      <c r="I7" s="129"/>
      <c r="J7" s="129"/>
      <c r="K7" s="130"/>
      <c r="L7" s="228"/>
      <c r="M7" s="227"/>
      <c r="N7" s="227"/>
      <c r="O7" s="227"/>
      <c r="P7" s="227"/>
    </row>
    <row r="9" spans="1:16">
      <c r="A9" s="133"/>
      <c r="B9" s="131" t="s">
        <v>85</v>
      </c>
      <c r="C9" s="268">
        <f>'Sc0-CBA'!C9</f>
        <v>680000000</v>
      </c>
      <c r="D9" s="229" t="s">
        <v>86</v>
      </c>
      <c r="E9" s="133"/>
      <c r="F9" s="132" t="s">
        <v>87</v>
      </c>
      <c r="G9" s="132" t="s">
        <v>88</v>
      </c>
      <c r="H9" s="132" t="s">
        <v>89</v>
      </c>
      <c r="I9" s="132" t="s">
        <v>90</v>
      </c>
      <c r="J9" s="132" t="s">
        <v>91</v>
      </c>
      <c r="K9" s="132" t="s">
        <v>92</v>
      </c>
      <c r="L9" s="132" t="s">
        <v>93</v>
      </c>
      <c r="M9" s="132" t="s">
        <v>94</v>
      </c>
      <c r="N9" s="133"/>
      <c r="O9" s="133"/>
      <c r="P9" s="133"/>
    </row>
    <row r="10" spans="1:16">
      <c r="A10" s="133"/>
      <c r="B10" s="131" t="s">
        <v>95</v>
      </c>
      <c r="C10" s="95">
        <v>10000</v>
      </c>
      <c r="D10" s="229" t="s">
        <v>86</v>
      </c>
      <c r="E10" s="133"/>
      <c r="F10" s="230">
        <v>0</v>
      </c>
      <c r="G10" s="231"/>
      <c r="H10" s="231"/>
      <c r="I10" s="231"/>
      <c r="J10" s="231"/>
      <c r="K10" s="231">
        <f>C9-C12*C13</f>
        <v>544000000</v>
      </c>
      <c r="L10" s="231"/>
      <c r="M10" s="231">
        <f>(H10+J10+L10)-(G10+I10+K10)</f>
        <v>-544000000</v>
      </c>
      <c r="N10" s="133"/>
      <c r="O10" s="133"/>
      <c r="P10" s="133"/>
    </row>
    <row r="11" spans="1:16">
      <c r="A11" s="133"/>
      <c r="B11" s="131" t="s">
        <v>96</v>
      </c>
      <c r="C11" s="238">
        <f>C10*(1-C42)</f>
        <v>10000</v>
      </c>
      <c r="D11" s="229" t="s">
        <v>86</v>
      </c>
      <c r="E11" s="133"/>
      <c r="F11" s="230">
        <v>1</v>
      </c>
      <c r="G11" s="231">
        <f t="shared" ref="G11:G22" si="0">$C$33</f>
        <v>0</v>
      </c>
      <c r="H11" s="231">
        <f t="shared" ref="H11:H22" si="1">$C$32</f>
        <v>0</v>
      </c>
      <c r="I11" s="231">
        <f>$C$15*$C$17/$C$21*$C$28*$C$13*$I$37+$C$15*$C$16/$C$21*$C$28*$C$13*$I$38+$C$15*$C$20/$C$21*$C$28*$C$13*$I$39+$C$15*$C$18/$C$21*$C$28*$C$13*$I$40</f>
        <v>16782726.399999999</v>
      </c>
      <c r="J11" s="231">
        <f>$C$15*$C$29*$C$13*$I$37+$C$15*$C$30*$C$13*$I$38+$C$15*$C$28*$C$13*$I$39+$C$15*$C$31*$C$13*$I$40</f>
        <v>33853283.200000003</v>
      </c>
      <c r="K11" s="231"/>
      <c r="L11" s="231"/>
      <c r="M11" s="231">
        <f>(H11+J11+L11)-(G11+I11+K11)</f>
        <v>17070556.800000004</v>
      </c>
      <c r="N11" s="133"/>
      <c r="O11" s="133"/>
      <c r="P11" s="133"/>
    </row>
    <row r="12" spans="1:16">
      <c r="A12" s="133"/>
      <c r="B12" s="131" t="s">
        <v>97</v>
      </c>
      <c r="C12" s="238">
        <f>'Sc0-CBA'!C11</f>
        <v>2000</v>
      </c>
      <c r="D12" s="229" t="s">
        <v>86</v>
      </c>
      <c r="E12" s="133"/>
      <c r="F12" s="230">
        <v>2</v>
      </c>
      <c r="G12" s="231">
        <f t="shared" si="0"/>
        <v>0</v>
      </c>
      <c r="H12" s="231">
        <f t="shared" si="1"/>
        <v>0</v>
      </c>
      <c r="I12" s="231">
        <f t="shared" ref="I12:I22" si="2">$C$15*$C$17/$C$21*$C$28*$C$13*$I$37+$C$15*$C$16/$C$21*$C$28*$C$13*$I$38+$C$15*$C$20/$C$21*$C$28*$C$13*$I$39+$C$15*$C$18/$C$21*$C$28*$C$13*$I$40</f>
        <v>16782726.399999999</v>
      </c>
      <c r="J12" s="231">
        <f t="shared" ref="J12" si="3">$C$15*$C$29*$C$13*$I$37+$C$15*$C$30*$C$13*$I$38+$C$15*$C$28*$C$13*$I$39+$C$15*$C$31*$C$13*$I$40</f>
        <v>33853283.200000003</v>
      </c>
      <c r="K12" s="231"/>
      <c r="L12" s="231"/>
      <c r="M12" s="231">
        <f t="shared" ref="M12:M18" si="4">(H12+J12+L12)-(G12+I12+K12)</f>
        <v>17070556.800000004</v>
      </c>
      <c r="N12" s="133"/>
      <c r="O12" s="133"/>
      <c r="P12" s="133"/>
    </row>
    <row r="13" spans="1:16">
      <c r="A13" s="133"/>
      <c r="B13" s="131" t="s">
        <v>151</v>
      </c>
      <c r="C13" s="270">
        <f>C9/C11</f>
        <v>68000</v>
      </c>
      <c r="D13" s="229" t="s">
        <v>194</v>
      </c>
      <c r="E13" s="133"/>
      <c r="F13" s="230">
        <v>3</v>
      </c>
      <c r="G13" s="231">
        <f t="shared" si="0"/>
        <v>0</v>
      </c>
      <c r="H13" s="231">
        <f t="shared" si="1"/>
        <v>0</v>
      </c>
      <c r="I13" s="231">
        <f t="shared" si="2"/>
        <v>16782726.399999999</v>
      </c>
      <c r="J13" s="231">
        <f>$C$15*C44*$C$13*$I$37+$C$15*C48*$C$13*$I$38+$C$15*$C$28*$C$13*$I$39+$C$15*$C$31*$C$13*$I$40</f>
        <v>33992858.803200006</v>
      </c>
      <c r="K13" s="231"/>
      <c r="L13" s="231"/>
      <c r="M13" s="231">
        <f t="shared" si="4"/>
        <v>17210132.403200008</v>
      </c>
      <c r="N13" s="133"/>
      <c r="O13" s="133"/>
      <c r="P13" s="133"/>
    </row>
    <row r="14" spans="1:16">
      <c r="A14" s="133"/>
      <c r="B14" s="131" t="s">
        <v>100</v>
      </c>
      <c r="C14" s="238">
        <f>'Sc0-CBA'!C14</f>
        <v>104</v>
      </c>
      <c r="D14" s="229" t="s">
        <v>101</v>
      </c>
      <c r="E14" s="133"/>
      <c r="F14" s="230">
        <v>4</v>
      </c>
      <c r="G14" s="231">
        <f t="shared" si="0"/>
        <v>0</v>
      </c>
      <c r="H14" s="231">
        <f t="shared" si="1"/>
        <v>0</v>
      </c>
      <c r="I14" s="231">
        <f t="shared" si="2"/>
        <v>16782726.399999999</v>
      </c>
      <c r="J14" s="231">
        <f>$C$15*C45*$C$13*$I$37+$C$15*C49*$C$13*$I$38+$C$15*$C$28*$C$13*$I$39+$C$15*$C$31*$C$13*$I$40</f>
        <v>34800998.003200002</v>
      </c>
      <c r="K14" s="231"/>
      <c r="L14" s="231"/>
      <c r="M14" s="231">
        <f t="shared" si="4"/>
        <v>18018271.603200004</v>
      </c>
      <c r="N14" s="133"/>
      <c r="O14" s="133"/>
      <c r="P14" s="133"/>
    </row>
    <row r="15" spans="1:16">
      <c r="A15" s="133"/>
      <c r="B15" s="131" t="s">
        <v>102</v>
      </c>
      <c r="C15" s="238">
        <f>'Sc0-CBA'!C15</f>
        <v>4070</v>
      </c>
      <c r="D15" s="229" t="s">
        <v>101</v>
      </c>
      <c r="E15" s="133"/>
      <c r="F15" s="230">
        <v>5</v>
      </c>
      <c r="G15" s="231">
        <f t="shared" si="0"/>
        <v>0</v>
      </c>
      <c r="H15" s="231">
        <f t="shared" si="1"/>
        <v>0</v>
      </c>
      <c r="I15" s="231">
        <f t="shared" si="2"/>
        <v>16782726.399999999</v>
      </c>
      <c r="J15" s="231">
        <f>$C$15*C46*$C$13*$I$37+$C$15*C50*$C$13*$I$38+$C$15*$C$28*$C$13*$I$39+$C$15*$C$31*$C$13*$I$40</f>
        <v>34989194.803200006</v>
      </c>
      <c r="K15" s="231"/>
      <c r="L15" s="231"/>
      <c r="M15" s="231">
        <f t="shared" si="4"/>
        <v>18206468.403200008</v>
      </c>
      <c r="N15" s="133"/>
      <c r="O15" s="133"/>
      <c r="P15" s="133"/>
    </row>
    <row r="16" spans="1:16">
      <c r="A16" s="133"/>
      <c r="B16" s="131" t="str">
        <f>'Sc0-CBA'!B19</f>
        <v>Degree of efficiency of petroleum boiler</v>
      </c>
      <c r="C16" s="239">
        <f>'Sc0-CBA'!C19</f>
        <v>0.8</v>
      </c>
      <c r="D16" s="229" t="s">
        <v>104</v>
      </c>
      <c r="E16" s="133"/>
      <c r="F16" s="230">
        <v>6</v>
      </c>
      <c r="G16" s="231">
        <f t="shared" si="0"/>
        <v>0</v>
      </c>
      <c r="H16" s="231">
        <f t="shared" si="1"/>
        <v>0</v>
      </c>
      <c r="I16" s="231">
        <f t="shared" si="2"/>
        <v>16782726.399999999</v>
      </c>
      <c r="J16" s="231">
        <f t="shared" ref="J16:J22" si="5">$C$15*$C$47*$C$13*$I$37+$C$15*$C$51*$C$13*$I$38+$C$15*$C$28*$C$13*$I$39+$C$15*$C$31*$C$13*$I$40</f>
        <v>35177391.603200004</v>
      </c>
      <c r="K16" s="231"/>
      <c r="L16" s="231"/>
      <c r="M16" s="231">
        <f t="shared" si="4"/>
        <v>18394665.203200005</v>
      </c>
      <c r="N16" s="133"/>
      <c r="O16" s="133"/>
      <c r="P16" s="133"/>
    </row>
    <row r="17" spans="2:13">
      <c r="B17" s="131" t="str">
        <f>'Sc0-CBA'!B17</f>
        <v>Degree of efficiency of existing natural gas boiler</v>
      </c>
      <c r="C17" s="239">
        <f>'Sc0-CBA'!C17</f>
        <v>0.85</v>
      </c>
      <c r="D17" s="229" t="s">
        <v>104</v>
      </c>
      <c r="E17" s="133"/>
      <c r="F17" s="230">
        <v>7</v>
      </c>
      <c r="G17" s="231">
        <f t="shared" si="0"/>
        <v>0</v>
      </c>
      <c r="H17" s="231">
        <f t="shared" si="1"/>
        <v>0</v>
      </c>
      <c r="I17" s="231">
        <f t="shared" si="2"/>
        <v>16782726.399999999</v>
      </c>
      <c r="J17" s="231">
        <f t="shared" si="5"/>
        <v>35177391.603200004</v>
      </c>
      <c r="K17" s="231"/>
      <c r="L17" s="231"/>
      <c r="M17" s="231">
        <f t="shared" si="4"/>
        <v>18394665.203200005</v>
      </c>
    </row>
    <row r="18" spans="2:13">
      <c r="B18" s="131" t="s">
        <v>108</v>
      </c>
      <c r="C18" s="275">
        <f>'Sc0-CBA'!C20</f>
        <v>0.3</v>
      </c>
      <c r="D18" s="229" t="s">
        <v>104</v>
      </c>
      <c r="E18" s="133"/>
      <c r="F18" s="230">
        <v>8</v>
      </c>
      <c r="G18" s="231">
        <f t="shared" si="0"/>
        <v>0</v>
      </c>
      <c r="H18" s="231">
        <f t="shared" si="1"/>
        <v>0</v>
      </c>
      <c r="I18" s="231">
        <f t="shared" si="2"/>
        <v>16782726.399999999</v>
      </c>
      <c r="J18" s="231">
        <f t="shared" si="5"/>
        <v>35177391.603200004</v>
      </c>
      <c r="K18" s="231"/>
      <c r="L18" s="231"/>
      <c r="M18" s="231">
        <f t="shared" si="4"/>
        <v>18394665.203200005</v>
      </c>
    </row>
    <row r="19" spans="2:13">
      <c r="B19" s="131" t="s">
        <v>103</v>
      </c>
      <c r="C19" s="275">
        <f>'Sc0-CBA'!C16</f>
        <v>0.95</v>
      </c>
      <c r="D19" s="229" t="s">
        <v>104</v>
      </c>
      <c r="E19" s="133"/>
      <c r="F19" s="230">
        <v>9</v>
      </c>
      <c r="G19" s="231">
        <f t="shared" si="0"/>
        <v>0</v>
      </c>
      <c r="H19" s="231">
        <f t="shared" si="1"/>
        <v>0</v>
      </c>
      <c r="I19" s="231">
        <f t="shared" si="2"/>
        <v>16782726.399999999</v>
      </c>
      <c r="J19" s="231">
        <f t="shared" si="5"/>
        <v>35177391.603200004</v>
      </c>
      <c r="K19" s="231"/>
      <c r="L19" s="231"/>
      <c r="M19" s="231">
        <f t="shared" ref="M19" si="6">(H19+J19+L19)-(G19+I19+K19)</f>
        <v>18394665.203200005</v>
      </c>
    </row>
    <row r="20" spans="2:13">
      <c r="B20" s="131" t="str">
        <f>'Sc0-CBA'!B21</f>
        <v>Degree of efficiency of electric boiler</v>
      </c>
      <c r="C20" s="275">
        <f>'Sc0-CBA'!C21</f>
        <v>1</v>
      </c>
      <c r="D20" s="229" t="s">
        <v>104</v>
      </c>
      <c r="E20" s="133"/>
      <c r="F20" s="230">
        <v>10</v>
      </c>
      <c r="G20" s="231">
        <f t="shared" si="0"/>
        <v>0</v>
      </c>
      <c r="H20" s="231">
        <f t="shared" si="1"/>
        <v>0</v>
      </c>
      <c r="I20" s="231">
        <f t="shared" si="2"/>
        <v>16782726.399999999</v>
      </c>
      <c r="J20" s="231">
        <f t="shared" si="5"/>
        <v>35177391.603200004</v>
      </c>
      <c r="K20" s="231"/>
      <c r="L20" s="231"/>
      <c r="M20" s="231">
        <f>(H20+J20+L20)-(G20+I20+K20)</f>
        <v>18394665.203200005</v>
      </c>
    </row>
    <row r="21" spans="2:13">
      <c r="B21" s="131" t="s">
        <v>201</v>
      </c>
      <c r="C21" s="274">
        <v>3</v>
      </c>
      <c r="D21" s="229"/>
      <c r="E21" s="133"/>
      <c r="F21" s="230">
        <v>11</v>
      </c>
      <c r="G21" s="231">
        <f t="shared" si="0"/>
        <v>0</v>
      </c>
      <c r="H21" s="231">
        <f t="shared" si="1"/>
        <v>0</v>
      </c>
      <c r="I21" s="231">
        <f t="shared" si="2"/>
        <v>16782726.399999999</v>
      </c>
      <c r="J21" s="231">
        <f t="shared" si="5"/>
        <v>35177391.603200004</v>
      </c>
      <c r="K21" s="231"/>
      <c r="L21" s="231"/>
      <c r="M21" s="231">
        <f>(H21+J21+L21)-(G21+I21+K21)</f>
        <v>18394665.203200005</v>
      </c>
    </row>
    <row r="22" spans="2:13">
      <c r="B22" s="131" t="s">
        <v>202</v>
      </c>
      <c r="C22" s="239">
        <f>($C$17/$C$21)*I37+($C$16/$C$21)*I38+($C$20/$C$21)*I39+($C$18/$C$21)*I40</f>
        <v>0.25266666666666665</v>
      </c>
      <c r="D22" s="229" t="s">
        <v>104</v>
      </c>
      <c r="E22" s="133"/>
      <c r="F22" s="230">
        <v>12</v>
      </c>
      <c r="G22" s="231">
        <f t="shared" si="0"/>
        <v>0</v>
      </c>
      <c r="H22" s="231">
        <f t="shared" si="1"/>
        <v>0</v>
      </c>
      <c r="I22" s="231">
        <f t="shared" si="2"/>
        <v>16782726.399999999</v>
      </c>
      <c r="J22" s="231">
        <f t="shared" si="5"/>
        <v>35177391.603200004</v>
      </c>
      <c r="K22" s="231"/>
      <c r="L22" s="231">
        <f>C9*C34</f>
        <v>0</v>
      </c>
      <c r="M22" s="231">
        <f>(H22+J22+L22)-(G22+I22+K22)</f>
        <v>18394665.203200005</v>
      </c>
    </row>
    <row r="23" spans="2:13" ht="27.95">
      <c r="B23" s="131" t="s">
        <v>203</v>
      </c>
      <c r="C23" s="276">
        <f>C15*C22</f>
        <v>1028.3533333333332</v>
      </c>
      <c r="D23" s="229" t="s">
        <v>101</v>
      </c>
      <c r="E23" s="133"/>
      <c r="F23" s="134" t="s">
        <v>116</v>
      </c>
      <c r="G23" s="161">
        <f t="shared" ref="G23:M23" si="7">NPV($C$35,G11:G22)+G10</f>
        <v>0</v>
      </c>
      <c r="H23" s="161">
        <f t="shared" si="7"/>
        <v>0</v>
      </c>
      <c r="I23" s="161">
        <f t="shared" si="7"/>
        <v>167055325.6085518</v>
      </c>
      <c r="J23" s="161">
        <f t="shared" si="7"/>
        <v>346041478.83486623</v>
      </c>
      <c r="K23" s="161">
        <f t="shared" si="7"/>
        <v>544000000</v>
      </c>
      <c r="L23" s="161">
        <f t="shared" si="7"/>
        <v>0</v>
      </c>
      <c r="M23" s="161">
        <f t="shared" si="7"/>
        <v>-365013846.77368557</v>
      </c>
    </row>
    <row r="24" spans="2:13">
      <c r="B24" s="131" t="s">
        <v>125</v>
      </c>
      <c r="C24" s="275">
        <v>0</v>
      </c>
      <c r="D24" s="229" t="s">
        <v>104</v>
      </c>
      <c r="E24" s="133"/>
      <c r="F24" s="164"/>
      <c r="G24" s="165"/>
      <c r="H24" s="165"/>
      <c r="I24" s="165"/>
      <c r="J24" s="165"/>
      <c r="K24" s="165"/>
      <c r="L24" s="165"/>
      <c r="M24" s="165"/>
    </row>
    <row r="25" spans="2:13">
      <c r="B25" s="131" t="s">
        <v>127</v>
      </c>
      <c r="C25" s="275">
        <f>1-C22</f>
        <v>0.7473333333333334</v>
      </c>
      <c r="D25" s="229" t="s">
        <v>104</v>
      </c>
      <c r="E25" s="133"/>
      <c r="F25" s="164"/>
      <c r="G25" s="165"/>
      <c r="H25" s="165"/>
      <c r="I25" s="165"/>
      <c r="J25" s="165"/>
      <c r="K25" s="165"/>
      <c r="L25" s="165"/>
      <c r="M25" s="165"/>
    </row>
    <row r="26" spans="2:13">
      <c r="B26" s="131" t="s">
        <v>154</v>
      </c>
      <c r="C26" s="238">
        <v>0</v>
      </c>
      <c r="D26" s="229" t="s">
        <v>101</v>
      </c>
      <c r="E26" s="133"/>
      <c r="F26" s="164"/>
      <c r="G26" s="165"/>
      <c r="H26" s="165"/>
      <c r="I26" s="165"/>
      <c r="J26" s="165"/>
      <c r="K26" s="165"/>
      <c r="L26" s="165"/>
      <c r="M26" s="165"/>
    </row>
    <row r="27" spans="2:13">
      <c r="B27" s="131" t="s">
        <v>155</v>
      </c>
      <c r="C27" s="238">
        <f>C15-C23</f>
        <v>3041.6466666666665</v>
      </c>
      <c r="D27" s="229" t="s">
        <v>101</v>
      </c>
      <c r="E27" s="133"/>
      <c r="F27" s="133"/>
      <c r="G27" s="133"/>
      <c r="H27" s="133"/>
      <c r="I27" s="133"/>
      <c r="J27" s="133"/>
      <c r="K27" s="133"/>
      <c r="L27" s="133"/>
      <c r="M27" s="133"/>
    </row>
    <row r="28" spans="2:13">
      <c r="B28" s="131" t="s">
        <v>113</v>
      </c>
      <c r="C28" s="271">
        <f>'Energy prices'!$C$6/1000</f>
        <v>0.24</v>
      </c>
      <c r="D28" s="229" t="s">
        <v>114</v>
      </c>
      <c r="E28" s="133"/>
      <c r="F28" s="133"/>
      <c r="G28" s="133"/>
      <c r="H28" s="133"/>
      <c r="I28" s="133"/>
      <c r="J28" s="133"/>
      <c r="K28" s="133"/>
      <c r="L28" s="133"/>
      <c r="M28" s="133"/>
    </row>
    <row r="29" spans="2:13">
      <c r="B29" s="131" t="str">
        <f>'Sc0-CBA'!B26</f>
        <v>Natural gas price</v>
      </c>
      <c r="C29" s="271">
        <f>'Sc0-CBA'!C26</f>
        <v>0.114</v>
      </c>
      <c r="D29" s="229" t="s">
        <v>114</v>
      </c>
      <c r="E29" s="133"/>
      <c r="F29" s="133"/>
      <c r="G29" s="133"/>
      <c r="H29" s="133"/>
      <c r="I29" s="133"/>
      <c r="J29" s="133"/>
      <c r="K29" s="133"/>
      <c r="L29" s="133"/>
      <c r="M29" s="133"/>
    </row>
    <row r="30" spans="2:13">
      <c r="B30" s="131" t="str">
        <f>'Sc0-CBA'!B27</f>
        <v>Petroleum price</v>
      </c>
      <c r="C30" s="271">
        <f>'Energy prices'!C7/1000</f>
        <v>0.11</v>
      </c>
      <c r="D30" s="229" t="s">
        <v>114</v>
      </c>
      <c r="E30" s="133"/>
      <c r="F30" s="133"/>
      <c r="G30" s="133"/>
      <c r="H30" s="133"/>
      <c r="I30" s="133"/>
      <c r="J30" s="133"/>
      <c r="K30" s="133"/>
      <c r="L30" s="133"/>
      <c r="M30" s="133"/>
    </row>
    <row r="31" spans="2:13">
      <c r="B31" s="131" t="s">
        <v>122</v>
      </c>
      <c r="C31" s="271">
        <f>'Energy prices'!C10/1000</f>
        <v>1.7000000000000001E-2</v>
      </c>
      <c r="D31" s="229" t="s">
        <v>114</v>
      </c>
      <c r="E31" s="133"/>
      <c r="F31" s="133"/>
      <c r="G31" s="133"/>
      <c r="H31" s="133"/>
      <c r="I31" s="133"/>
      <c r="J31" s="133"/>
      <c r="K31" s="133"/>
      <c r="L31" s="133"/>
      <c r="M31" s="133"/>
    </row>
    <row r="32" spans="2:13">
      <c r="B32" s="131" t="s">
        <v>118</v>
      </c>
      <c r="C32" s="238">
        <v>0</v>
      </c>
      <c r="D32" s="229" t="s">
        <v>86</v>
      </c>
      <c r="E32" s="133"/>
      <c r="F32" s="133"/>
      <c r="G32" s="133"/>
      <c r="H32" s="133"/>
      <c r="I32" s="133"/>
      <c r="J32" s="133"/>
      <c r="K32" s="133"/>
      <c r="L32" s="133"/>
      <c r="M32" s="133"/>
    </row>
    <row r="33" spans="2:9">
      <c r="B33" s="131" t="s">
        <v>119</v>
      </c>
      <c r="C33" s="238">
        <v>0</v>
      </c>
      <c r="D33" s="229" t="s">
        <v>86</v>
      </c>
      <c r="E33" s="133"/>
      <c r="F33" s="133"/>
      <c r="G33" s="133"/>
      <c r="H33" s="133"/>
      <c r="I33" s="133"/>
    </row>
    <row r="34" spans="2:9">
      <c r="B34" s="131" t="s">
        <v>93</v>
      </c>
      <c r="C34" s="239">
        <v>0</v>
      </c>
      <c r="D34" s="229" t="s">
        <v>204</v>
      </c>
      <c r="E34" s="133"/>
      <c r="F34" s="133"/>
      <c r="G34" s="133"/>
      <c r="H34" s="133"/>
      <c r="I34" s="133"/>
    </row>
    <row r="35" spans="2:9">
      <c r="B35" s="131" t="s">
        <v>121</v>
      </c>
      <c r="C35" s="239">
        <v>0.03</v>
      </c>
      <c r="D35" s="229" t="s">
        <v>104</v>
      </c>
      <c r="E35" s="133"/>
      <c r="F35" s="133"/>
      <c r="G35" s="133"/>
      <c r="H35" s="133"/>
      <c r="I35" s="133"/>
    </row>
    <row r="36" spans="2:9">
      <c r="B36" s="133"/>
      <c r="C36" s="249"/>
      <c r="D36" s="133"/>
      <c r="E36" s="133"/>
      <c r="F36" s="133"/>
      <c r="G36" s="133"/>
      <c r="H36" s="160" t="str">
        <f>'Sc0-CBA'!G32</f>
        <v>Fuel share per households in the region</v>
      </c>
      <c r="I36" s="242"/>
    </row>
    <row r="37" spans="2:9">
      <c r="B37" s="135" t="s">
        <v>133</v>
      </c>
      <c r="C37" s="156">
        <f>NPV(C35,M11:M22)+M10</f>
        <v>-365013846.77368557</v>
      </c>
      <c r="D37" s="133"/>
      <c r="E37" s="133"/>
      <c r="F37" s="133"/>
      <c r="G37" s="133"/>
      <c r="H37" s="246" t="str">
        <f>'Sc0-CBA'!G33</f>
        <v>Natural gas</v>
      </c>
      <c r="I37" s="272">
        <f>'Sc0-CBA'!H33</f>
        <v>0.48</v>
      </c>
    </row>
    <row r="38" spans="2:9">
      <c r="B38" s="135" t="s">
        <v>134</v>
      </c>
      <c r="C38" s="157">
        <f>IRR(M10:M22)</f>
        <v>-0.11849036033639482</v>
      </c>
      <c r="D38" s="133"/>
      <c r="E38" s="133"/>
      <c r="F38" s="133"/>
      <c r="G38" s="133"/>
      <c r="H38" s="246" t="str">
        <f>'Sc0-CBA'!G34</f>
        <v>Petroleum derivatives</v>
      </c>
      <c r="I38" s="272">
        <f>'Sc0-CBA'!H34</f>
        <v>0.2</v>
      </c>
    </row>
    <row r="39" spans="2:9">
      <c r="B39" s="135" t="s">
        <v>135</v>
      </c>
      <c r="C39" s="158">
        <f>(H23+J23+L23)/(G23+I23+K23)</f>
        <v>0.48665900721397315</v>
      </c>
      <c r="D39" s="133"/>
      <c r="E39" s="133"/>
      <c r="F39" s="133"/>
      <c r="G39" s="133"/>
      <c r="H39" s="246" t="s">
        <v>128</v>
      </c>
      <c r="I39" s="272">
        <f>'Sc0-CBA'!H35</f>
        <v>0.19</v>
      </c>
    </row>
    <row r="40" spans="2:9">
      <c r="B40" s="133"/>
      <c r="C40" s="249"/>
      <c r="D40" s="133"/>
      <c r="E40" s="133"/>
      <c r="F40" s="133"/>
      <c r="G40" s="133"/>
      <c r="H40" s="246" t="s">
        <v>78</v>
      </c>
      <c r="I40" s="272">
        <f>'Sc0-CBA'!H36</f>
        <v>0</v>
      </c>
    </row>
    <row r="41" spans="2:9">
      <c r="B41" s="133"/>
      <c r="C41" s="249"/>
      <c r="D41" s="133"/>
      <c r="E41" s="133"/>
      <c r="F41" s="133"/>
      <c r="G41" s="133"/>
      <c r="H41" s="246" t="s">
        <v>81</v>
      </c>
      <c r="I41" s="272">
        <f>'Sc0-CBA'!H37</f>
        <v>0.12</v>
      </c>
    </row>
    <row r="42" spans="2:9">
      <c r="B42" s="131" t="s">
        <v>136</v>
      </c>
      <c r="C42" s="239">
        <v>0</v>
      </c>
      <c r="D42" s="229" t="s">
        <v>104</v>
      </c>
      <c r="E42" s="133"/>
      <c r="F42" s="133"/>
      <c r="G42" s="133"/>
      <c r="H42" s="246" t="s">
        <v>116</v>
      </c>
      <c r="I42" s="272">
        <f>SUM(I37:I41)</f>
        <v>0.98999999999999988</v>
      </c>
    </row>
    <row r="43" spans="2:9" hidden="1">
      <c r="B43" s="137" t="s">
        <v>137</v>
      </c>
      <c r="C43" s="133">
        <v>1</v>
      </c>
      <c r="D43" s="133" t="s">
        <v>138</v>
      </c>
      <c r="E43" s="133"/>
      <c r="F43" s="133"/>
      <c r="G43" s="133"/>
      <c r="H43" s="133"/>
      <c r="I43" s="133"/>
    </row>
    <row r="44" spans="2:9" hidden="1">
      <c r="B44" s="133" t="s">
        <v>139</v>
      </c>
      <c r="C44" s="277">
        <f>IF(C43=1,C29*(1+D44),C29)</f>
        <v>0.11468400000000001</v>
      </c>
      <c r="D44" s="251">
        <v>6.0000000000000001E-3</v>
      </c>
      <c r="E44" s="133"/>
      <c r="F44" s="133"/>
      <c r="G44" s="133"/>
      <c r="H44" s="133"/>
      <c r="I44" s="133"/>
    </row>
    <row r="45" spans="2:9" hidden="1">
      <c r="B45" s="133" t="s">
        <v>140</v>
      </c>
      <c r="C45" s="277">
        <f>IF(C43=1,(C44+D45),C29)</f>
        <v>0.11868400000000001</v>
      </c>
      <c r="D45" s="251">
        <v>4.0000000000000001E-3</v>
      </c>
      <c r="E45" s="133"/>
      <c r="F45" s="133"/>
      <c r="G45" s="133"/>
      <c r="H45" s="133"/>
      <c r="I45" s="133"/>
    </row>
    <row r="46" spans="2:9" hidden="1">
      <c r="B46" s="133" t="s">
        <v>141</v>
      </c>
      <c r="C46" s="277">
        <f>IF(C43=1,(C45+D46),C29)</f>
        <v>0.11968400000000001</v>
      </c>
      <c r="D46" s="251">
        <v>1E-3</v>
      </c>
      <c r="E46" s="133"/>
      <c r="F46" s="133"/>
      <c r="G46" s="133"/>
      <c r="H46" s="133"/>
      <c r="I46" s="133"/>
    </row>
    <row r="47" spans="2:9" hidden="1">
      <c r="B47" s="133" t="s">
        <v>142</v>
      </c>
      <c r="C47" s="277">
        <f>IF(C43=1,(C46+D47),C29)</f>
        <v>0.12068400000000001</v>
      </c>
      <c r="D47" s="251">
        <v>1E-3</v>
      </c>
      <c r="E47" s="133"/>
      <c r="F47" s="133"/>
      <c r="G47" s="133"/>
      <c r="H47" s="133"/>
      <c r="I47" s="133"/>
    </row>
    <row r="48" spans="2:9" hidden="1">
      <c r="B48" s="133" t="str">
        <f>'Sc0-CBA'!B54</f>
        <v>Petroleum price ETS 2 Year 3</v>
      </c>
      <c r="C48" s="278">
        <f>IF(C43=1,C30*(1+D48),C30)</f>
        <v>0.11088000000000001</v>
      </c>
      <c r="D48" s="251">
        <v>8.0000000000000002E-3</v>
      </c>
      <c r="E48" s="133"/>
      <c r="F48" s="133"/>
      <c r="G48" s="133"/>
      <c r="H48" s="133"/>
      <c r="I48" s="133"/>
    </row>
    <row r="49" spans="2:4" hidden="1">
      <c r="B49" s="133" t="str">
        <f>'Sc0-CBA'!B55</f>
        <v>Petroleum price ETS 2 Year 4</v>
      </c>
      <c r="C49" s="278">
        <f>IF($C$43=1,C48+D49,$C$30)</f>
        <v>0.11588000000000001</v>
      </c>
      <c r="D49" s="251">
        <v>5.0000000000000001E-3</v>
      </c>
    </row>
    <row r="50" spans="2:4" hidden="1">
      <c r="B50" s="133" t="str">
        <f>'Sc0-CBA'!B56</f>
        <v>Petroleum price ETS 2 Year 5</v>
      </c>
      <c r="C50" s="278">
        <f>IF($C$43=1,C49+D50,$C$30)</f>
        <v>0.11688000000000001</v>
      </c>
      <c r="D50" s="251">
        <v>1E-3</v>
      </c>
    </row>
    <row r="51" spans="2:4" hidden="1">
      <c r="B51" s="133" t="str">
        <f>'Sc0-CBA'!B57</f>
        <v>Petroleum price ETS 2 Year 6</v>
      </c>
      <c r="C51" s="278">
        <f>IF($C$43=1,C50+D51,$C$30)</f>
        <v>0.11788000000000001</v>
      </c>
      <c r="D51" s="251">
        <v>1E-3</v>
      </c>
    </row>
  </sheetData>
  <sheetProtection algorithmName="SHA-512" hashValue="DiwzGh73YE6RQcrSWuDviOKI8xIRvlcbKQRAOWyLagNxb0hX6ROZGnsj5xhLL1HYdN5ZW9f1bTS6dNnMnV1bvQ==" saltValue="oxkKElZB8Q50sft7yOgQ3w==" spinCount="100000" sheet="1" objects="1" scenarios="1" selectLockedCells="1"/>
  <mergeCells count="2">
    <mergeCell ref="C1:N3"/>
    <mergeCell ref="B4:D4"/>
  </mergeCells>
  <pageMargins left="0.7" right="0.7" top="0.75" bottom="0.75" header="0.3" footer="0.3"/>
  <pageSetup orientation="portrait" horizontalDpi="4294967293" verticalDpi="4294967293"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9975A-5D73-4B88-BC0F-FC38B235E8C4}">
  <sheetPr>
    <tabColor theme="9" tint="-0.499984740745262"/>
  </sheetPr>
  <dimension ref="A1:P82"/>
  <sheetViews>
    <sheetView zoomScale="50" zoomScaleNormal="50" workbookViewId="0">
      <selection activeCell="L36" sqref="L36"/>
    </sheetView>
  </sheetViews>
  <sheetFormatPr defaultColWidth="0" defaultRowHeight="14.1"/>
  <cols>
    <col min="1" max="1" width="3.5703125" style="121" customWidth="1"/>
    <col min="2" max="2" width="55.42578125" style="121" customWidth="1"/>
    <col min="3" max="3" width="20.5703125" style="136" customWidth="1"/>
    <col min="4" max="4" width="15.5703125" style="121" bestFit="1" customWidth="1"/>
    <col min="5" max="6" width="8.85546875" style="121" customWidth="1"/>
    <col min="7" max="7" width="12" style="121" bestFit="1" customWidth="1"/>
    <col min="8" max="8" width="13.42578125" style="121" bestFit="1" customWidth="1"/>
    <col min="9" max="9" width="16.5703125" style="121" bestFit="1" customWidth="1"/>
    <col min="10" max="10" width="17" style="121" bestFit="1" customWidth="1"/>
    <col min="11" max="12" width="17.42578125" style="121" bestFit="1" customWidth="1"/>
    <col min="13" max="13" width="18.42578125" style="121" bestFit="1" customWidth="1"/>
    <col min="14" max="14" width="18.5703125" style="121" bestFit="1" customWidth="1"/>
    <col min="15" max="15" width="20" style="121" bestFit="1" customWidth="1"/>
    <col min="16" max="16" width="8.85546875" style="121" customWidth="1"/>
    <col min="17" max="16384" width="8.85546875" style="121" hidden="1"/>
  </cols>
  <sheetData>
    <row r="1" spans="1:16" ht="14.1" customHeight="1">
      <c r="A1" s="133"/>
      <c r="B1" s="133"/>
      <c r="C1" s="219" t="s">
        <v>205</v>
      </c>
      <c r="D1" s="219"/>
      <c r="E1" s="219"/>
      <c r="F1" s="219"/>
      <c r="G1" s="219"/>
      <c r="H1" s="219"/>
      <c r="I1" s="219"/>
      <c r="J1" s="219"/>
      <c r="K1" s="219"/>
      <c r="L1" s="219"/>
      <c r="M1" s="219"/>
      <c r="N1" s="219"/>
      <c r="O1" s="133"/>
      <c r="P1" s="133"/>
    </row>
    <row r="2" spans="1:16" ht="14.1" customHeight="1">
      <c r="A2" s="133"/>
      <c r="B2" s="133"/>
      <c r="C2" s="219"/>
      <c r="D2" s="219"/>
      <c r="E2" s="219"/>
      <c r="F2" s="219"/>
      <c r="G2" s="219"/>
      <c r="H2" s="219"/>
      <c r="I2" s="219"/>
      <c r="J2" s="219"/>
      <c r="K2" s="219"/>
      <c r="L2" s="219"/>
      <c r="M2" s="219"/>
      <c r="N2" s="219"/>
      <c r="O2" s="133"/>
      <c r="P2" s="133"/>
    </row>
    <row r="3" spans="1:16" ht="14.1" customHeight="1">
      <c r="A3" s="133"/>
      <c r="B3" s="133"/>
      <c r="C3" s="219"/>
      <c r="D3" s="219"/>
      <c r="E3" s="219"/>
      <c r="F3" s="219"/>
      <c r="G3" s="219"/>
      <c r="H3" s="219"/>
      <c r="I3" s="219"/>
      <c r="J3" s="219"/>
      <c r="K3" s="219"/>
      <c r="L3" s="219"/>
      <c r="M3" s="219"/>
      <c r="N3" s="219"/>
      <c r="O3" s="133"/>
      <c r="P3" s="133"/>
    </row>
    <row r="4" spans="1:16" ht="14.45">
      <c r="A4" s="60"/>
      <c r="B4" s="214"/>
      <c r="C4" s="226"/>
      <c r="D4" s="226"/>
      <c r="E4" s="61"/>
      <c r="F4" s="62"/>
      <c r="G4" s="60"/>
      <c r="H4" s="63"/>
      <c r="I4" s="63"/>
      <c r="J4" s="61"/>
      <c r="K4" s="64"/>
      <c r="L4" s="64"/>
      <c r="M4" s="133"/>
      <c r="N4" s="133"/>
      <c r="O4" s="133"/>
      <c r="P4" s="133"/>
    </row>
    <row r="5" spans="1:16" ht="14.45">
      <c r="A5" s="122"/>
      <c r="B5" s="123"/>
      <c r="C5" s="124"/>
      <c r="D5" s="124"/>
      <c r="E5" s="125"/>
      <c r="F5" s="126"/>
      <c r="G5" s="122"/>
      <c r="H5" s="123"/>
      <c r="I5" s="123"/>
      <c r="J5" s="125"/>
      <c r="K5" s="126"/>
      <c r="L5" s="126"/>
      <c r="M5" s="133"/>
      <c r="N5" s="133"/>
      <c r="O5" s="133"/>
      <c r="P5" s="133"/>
    </row>
    <row r="6" spans="1:16" ht="15">
      <c r="A6" s="227"/>
      <c r="B6" s="127" t="s">
        <v>83</v>
      </c>
      <c r="C6" s="128" t="s">
        <v>84</v>
      </c>
      <c r="D6" s="128"/>
      <c r="E6" s="128"/>
      <c r="F6" s="128"/>
      <c r="G6" s="128"/>
      <c r="H6" s="129"/>
      <c r="I6" s="129"/>
      <c r="J6" s="129"/>
      <c r="K6" s="130"/>
      <c r="L6" s="228"/>
      <c r="M6" s="227"/>
      <c r="N6" s="227"/>
      <c r="O6" s="227"/>
      <c r="P6" s="227"/>
    </row>
    <row r="7" spans="1:16" ht="15">
      <c r="A7" s="227"/>
      <c r="B7" s="127"/>
      <c r="C7" s="128"/>
      <c r="D7" s="128"/>
      <c r="E7" s="128"/>
      <c r="F7" s="128"/>
      <c r="G7" s="128"/>
      <c r="H7" s="129"/>
      <c r="I7" s="129"/>
      <c r="J7" s="129"/>
      <c r="K7" s="130"/>
      <c r="L7" s="228"/>
      <c r="M7" s="227"/>
      <c r="N7" s="227"/>
      <c r="O7" s="227"/>
      <c r="P7" s="227"/>
    </row>
    <row r="9" spans="1:16">
      <c r="A9" s="133"/>
      <c r="B9" s="131" t="s">
        <v>85</v>
      </c>
      <c r="C9" s="234">
        <f>'Sc2-CBA'!C9</f>
        <v>680000000</v>
      </c>
      <c r="D9" s="229" t="s">
        <v>86</v>
      </c>
      <c r="E9" s="133"/>
      <c r="F9" s="132" t="s">
        <v>87</v>
      </c>
      <c r="G9" s="132" t="s">
        <v>88</v>
      </c>
      <c r="H9" s="132" t="s">
        <v>89</v>
      </c>
      <c r="I9" s="132" t="s">
        <v>90</v>
      </c>
      <c r="J9" s="132" t="s">
        <v>91</v>
      </c>
      <c r="K9" s="132" t="s">
        <v>148</v>
      </c>
      <c r="L9" s="132" t="s">
        <v>149</v>
      </c>
      <c r="M9" s="132" t="s">
        <v>92</v>
      </c>
      <c r="N9" s="132" t="s">
        <v>93</v>
      </c>
      <c r="O9" s="132" t="s">
        <v>94</v>
      </c>
      <c r="P9" s="133"/>
    </row>
    <row r="10" spans="1:16">
      <c r="A10" s="133"/>
      <c r="B10" s="131" t="s">
        <v>95</v>
      </c>
      <c r="C10" s="234">
        <f>'Sc2-CBA'!C10</f>
        <v>10000</v>
      </c>
      <c r="D10" s="229" t="s">
        <v>86</v>
      </c>
      <c r="E10" s="133"/>
      <c r="F10" s="230">
        <v>0</v>
      </c>
      <c r="G10" s="231"/>
      <c r="H10" s="231"/>
      <c r="I10" s="231"/>
      <c r="J10" s="231"/>
      <c r="K10" s="231"/>
      <c r="L10" s="232">
        <f>IF(C40=1,C66,0)</f>
        <v>0</v>
      </c>
      <c r="M10" s="255">
        <f>(C9-C11*C12)/(1+C79)</f>
        <v>449586776.85950416</v>
      </c>
      <c r="N10" s="231"/>
      <c r="O10" s="232">
        <f>(H10+J10+L10+N10)-(G10+I10+K10+M10)</f>
        <v>-449586776.85950416</v>
      </c>
      <c r="P10" s="133"/>
    </row>
    <row r="11" spans="1:16">
      <c r="A11" s="133"/>
      <c r="B11" s="131" t="s">
        <v>97</v>
      </c>
      <c r="C11" s="234">
        <f>'Sc0-CBA'!C11</f>
        <v>2000</v>
      </c>
      <c r="D11" s="229" t="s">
        <v>86</v>
      </c>
      <c r="E11" s="133"/>
      <c r="F11" s="230">
        <v>1</v>
      </c>
      <c r="G11" s="232">
        <f t="shared" ref="G11:G22" si="0">$C$30</f>
        <v>0</v>
      </c>
      <c r="H11" s="232">
        <f t="shared" ref="H11:H22" si="1">$C$29</f>
        <v>0</v>
      </c>
      <c r="I11" s="232">
        <f>$C$14*$C$16/$C$20*$C$25*$C$12*$I$35+$C$14*$C$15/$C$20*$C$25*$C$12*$I$36+$C$14*$C$19/$C$20*$C$25*$C$12*$I$37+$C$14*$C$17/$C$20*$C$25*$C$12*$I$38</f>
        <v>14824741.653333334</v>
      </c>
      <c r="J11" s="232">
        <f>$C$14*$C$26*$C$12*$I$35+$C$14*$C$27*$C$12*$I$36+$C$14*$C$25*$C$12*$I$37+$C$14*$C$28*$C$12*$I$38</f>
        <v>29724024</v>
      </c>
      <c r="K11" s="232">
        <f t="shared" ref="K11:K22" si="2">$C$14*$C$16/$C$20*$C$59/1000*$C$12*$I$35+$C$14*$C$15/$C$20*$C$48/1000*$C$12*$I$36+$C$14*$C$19/$C$20*$C$58/1000*$C$12*$I$37+$C$14*$C$17/$C$20*$C$57/1000*$C$12*$I$38</f>
        <v>3759692.3466666667</v>
      </c>
      <c r="L11" s="232">
        <f t="shared" ref="L11:L22" si="3">$C$14*$C$59/1000*$C$12*$I$35+$C$14*$C$48/1000*$C$12*$I$36+$C$14*$C$58/1000*$C$12*$I$37+$C$14*$C$57/1000*$C$12*$I$38+(J11-I11)*$C$76*$C$77</f>
        <v>13297402.846933333</v>
      </c>
      <c r="M11" s="231"/>
      <c r="N11" s="231"/>
      <c r="O11" s="232">
        <f>(H11+J11+L11+N11)-(G11+I11+K11+M11)</f>
        <v>24436992.846933335</v>
      </c>
      <c r="P11" s="133"/>
    </row>
    <row r="12" spans="1:16">
      <c r="A12" s="133"/>
      <c r="B12" s="131" t="s">
        <v>151</v>
      </c>
      <c r="C12" s="235">
        <f>C9/C10</f>
        <v>68000</v>
      </c>
      <c r="D12" s="229" t="s">
        <v>194</v>
      </c>
      <c r="E12" s="133"/>
      <c r="F12" s="230">
        <v>2</v>
      </c>
      <c r="G12" s="232">
        <f t="shared" si="0"/>
        <v>0</v>
      </c>
      <c r="H12" s="232">
        <f t="shared" si="1"/>
        <v>0</v>
      </c>
      <c r="I12" s="232">
        <f t="shared" ref="I12:I22" si="4">$C$14*$C$16/$C$20*$C$25*$C$12*$I$35+$C$14*$C$15/$C$20*$C$25*$C$12*$I$36+$C$14*$C$19/$C$20*$C$25*$C$12*$I$37+$C$14*$C$17/$C$20*$C$25*$C$12*$I$38</f>
        <v>14824741.653333334</v>
      </c>
      <c r="J12" s="232">
        <f t="shared" ref="J12:J22" si="5">$C$14*$C$26*$C$12*$I$35+$C$14*$C$27*$C$12*$I$36+$C$14*$C$25*$C$12*$I$37+$C$14*$C$28*$C$12*$I$38</f>
        <v>29724024</v>
      </c>
      <c r="K12" s="232">
        <f t="shared" si="2"/>
        <v>3759692.3466666667</v>
      </c>
      <c r="L12" s="232">
        <f t="shared" si="3"/>
        <v>13297402.846933333</v>
      </c>
      <c r="M12" s="231"/>
      <c r="N12" s="231"/>
      <c r="O12" s="232">
        <f t="shared" ref="O12:O16" si="6">(H12+J12+L12+N12)-(G12+I12+K12+M12)</f>
        <v>24436992.846933335</v>
      </c>
      <c r="P12" s="133"/>
    </row>
    <row r="13" spans="1:16">
      <c r="A13" s="133"/>
      <c r="B13" s="131" t="s">
        <v>100</v>
      </c>
      <c r="C13" s="234">
        <f>'Sc0-CBA'!C14</f>
        <v>104</v>
      </c>
      <c r="D13" s="229" t="s">
        <v>101</v>
      </c>
      <c r="E13" s="133"/>
      <c r="F13" s="230">
        <v>3</v>
      </c>
      <c r="G13" s="232">
        <f t="shared" si="0"/>
        <v>0</v>
      </c>
      <c r="H13" s="232">
        <f t="shared" si="1"/>
        <v>0</v>
      </c>
      <c r="I13" s="232">
        <f t="shared" si="4"/>
        <v>14824741.653333334</v>
      </c>
      <c r="J13" s="232">
        <f t="shared" si="5"/>
        <v>29724024</v>
      </c>
      <c r="K13" s="232">
        <f t="shared" si="2"/>
        <v>3759692.3466666667</v>
      </c>
      <c r="L13" s="232">
        <f t="shared" si="3"/>
        <v>13297402.846933333</v>
      </c>
      <c r="M13" s="231"/>
      <c r="N13" s="231"/>
      <c r="O13" s="232">
        <f t="shared" si="6"/>
        <v>24436992.846933335</v>
      </c>
      <c r="P13" s="133"/>
    </row>
    <row r="14" spans="1:16">
      <c r="A14" s="133"/>
      <c r="B14" s="131" t="s">
        <v>102</v>
      </c>
      <c r="C14" s="234">
        <f>'Sc0-CBA'!C15</f>
        <v>4070</v>
      </c>
      <c r="D14" s="229" t="s">
        <v>101</v>
      </c>
      <c r="E14" s="133"/>
      <c r="F14" s="230">
        <v>4</v>
      </c>
      <c r="G14" s="232">
        <f t="shared" si="0"/>
        <v>0</v>
      </c>
      <c r="H14" s="232">
        <f t="shared" si="1"/>
        <v>0</v>
      </c>
      <c r="I14" s="232">
        <f t="shared" si="4"/>
        <v>14824741.653333334</v>
      </c>
      <c r="J14" s="232">
        <f t="shared" si="5"/>
        <v>29724024</v>
      </c>
      <c r="K14" s="232">
        <f t="shared" si="2"/>
        <v>3759692.3466666667</v>
      </c>
      <c r="L14" s="232">
        <f t="shared" si="3"/>
        <v>13297402.846933333</v>
      </c>
      <c r="M14" s="231"/>
      <c r="N14" s="231"/>
      <c r="O14" s="232">
        <f t="shared" si="6"/>
        <v>24436992.846933335</v>
      </c>
      <c r="P14" s="133"/>
    </row>
    <row r="15" spans="1:16">
      <c r="A15" s="133"/>
      <c r="B15" s="103" t="str">
        <f>'Sc0-CBA'!B19</f>
        <v>Degree of efficiency of petroleum boiler</v>
      </c>
      <c r="C15" s="241">
        <f>'Sc0-CBA'!C19</f>
        <v>0.8</v>
      </c>
      <c r="D15" s="229" t="s">
        <v>104</v>
      </c>
      <c r="E15" s="133"/>
      <c r="F15" s="230">
        <v>5</v>
      </c>
      <c r="G15" s="232">
        <f t="shared" si="0"/>
        <v>0</v>
      </c>
      <c r="H15" s="232">
        <f t="shared" si="1"/>
        <v>0</v>
      </c>
      <c r="I15" s="232">
        <f t="shared" si="4"/>
        <v>14824741.653333334</v>
      </c>
      <c r="J15" s="232">
        <f t="shared" si="5"/>
        <v>29724024</v>
      </c>
      <c r="K15" s="232">
        <f t="shared" si="2"/>
        <v>3759692.3466666667</v>
      </c>
      <c r="L15" s="232">
        <f t="shared" si="3"/>
        <v>13297402.846933333</v>
      </c>
      <c r="M15" s="231"/>
      <c r="N15" s="231"/>
      <c r="O15" s="232">
        <f t="shared" si="6"/>
        <v>24436992.846933335</v>
      </c>
      <c r="P15" s="133"/>
    </row>
    <row r="16" spans="1:16">
      <c r="A16" s="133"/>
      <c r="B16" s="103" t="str">
        <f>'Sc0-CBA'!B17</f>
        <v>Degree of efficiency of existing natural gas boiler</v>
      </c>
      <c r="C16" s="241">
        <f>'Sc0-CBA'!C17</f>
        <v>0.85</v>
      </c>
      <c r="D16" s="229" t="s">
        <v>104</v>
      </c>
      <c r="E16" s="133"/>
      <c r="F16" s="230">
        <v>6</v>
      </c>
      <c r="G16" s="232">
        <f t="shared" si="0"/>
        <v>0</v>
      </c>
      <c r="H16" s="232">
        <f t="shared" si="1"/>
        <v>0</v>
      </c>
      <c r="I16" s="232">
        <f t="shared" si="4"/>
        <v>14824741.653333334</v>
      </c>
      <c r="J16" s="232">
        <f t="shared" si="5"/>
        <v>29724024</v>
      </c>
      <c r="K16" s="232">
        <f t="shared" si="2"/>
        <v>3759692.3466666667</v>
      </c>
      <c r="L16" s="232">
        <f t="shared" si="3"/>
        <v>13297402.846933333</v>
      </c>
      <c r="M16" s="231"/>
      <c r="N16" s="231"/>
      <c r="O16" s="232">
        <f t="shared" si="6"/>
        <v>24436992.846933335</v>
      </c>
      <c r="P16" s="133"/>
    </row>
    <row r="17" spans="2:15">
      <c r="B17" s="131" t="s">
        <v>108</v>
      </c>
      <c r="C17" s="241">
        <f>'Sc0-CBA'!C20</f>
        <v>0.3</v>
      </c>
      <c r="D17" s="229" t="s">
        <v>104</v>
      </c>
      <c r="E17" s="133"/>
      <c r="F17" s="230">
        <v>7</v>
      </c>
      <c r="G17" s="232">
        <f t="shared" si="0"/>
        <v>0</v>
      </c>
      <c r="H17" s="232">
        <f t="shared" si="1"/>
        <v>0</v>
      </c>
      <c r="I17" s="232">
        <f t="shared" si="4"/>
        <v>14824741.653333334</v>
      </c>
      <c r="J17" s="232">
        <f t="shared" si="5"/>
        <v>29724024</v>
      </c>
      <c r="K17" s="232">
        <f t="shared" si="2"/>
        <v>3759692.3466666667</v>
      </c>
      <c r="L17" s="232">
        <f t="shared" si="3"/>
        <v>13297402.846933333</v>
      </c>
      <c r="M17" s="231"/>
      <c r="N17" s="231"/>
      <c r="O17" s="232">
        <f t="shared" ref="O17" si="7">(H17+J17+L17+N17)-(G17+I17+K17+M17)</f>
        <v>24436992.846933335</v>
      </c>
    </row>
    <row r="18" spans="2:15">
      <c r="B18" s="131" t="s">
        <v>103</v>
      </c>
      <c r="C18" s="241">
        <f>'Sc0-CBA'!C16</f>
        <v>0.95</v>
      </c>
      <c r="D18" s="229" t="s">
        <v>104</v>
      </c>
      <c r="E18" s="133"/>
      <c r="F18" s="230">
        <v>8</v>
      </c>
      <c r="G18" s="232">
        <f t="shared" si="0"/>
        <v>0</v>
      </c>
      <c r="H18" s="232">
        <f t="shared" si="1"/>
        <v>0</v>
      </c>
      <c r="I18" s="232">
        <f t="shared" si="4"/>
        <v>14824741.653333334</v>
      </c>
      <c r="J18" s="232">
        <f t="shared" si="5"/>
        <v>29724024</v>
      </c>
      <c r="K18" s="232">
        <f t="shared" si="2"/>
        <v>3759692.3466666667</v>
      </c>
      <c r="L18" s="232">
        <f t="shared" si="3"/>
        <v>13297402.846933333</v>
      </c>
      <c r="M18" s="231"/>
      <c r="N18" s="231"/>
      <c r="O18" s="232">
        <f t="shared" ref="O18" si="8">(H18+J18+L18+N18)-(G18+I18+K18+M18)</f>
        <v>24436992.846933335</v>
      </c>
    </row>
    <row r="19" spans="2:15">
      <c r="B19" s="103" t="str">
        <f>'Sc0-CBA'!B21</f>
        <v>Degree of efficiency of electric boiler</v>
      </c>
      <c r="C19" s="241">
        <f>'Sc0-CBA'!C21</f>
        <v>1</v>
      </c>
      <c r="D19" s="229" t="s">
        <v>104</v>
      </c>
      <c r="E19" s="133"/>
      <c r="F19" s="230">
        <v>9</v>
      </c>
      <c r="G19" s="232">
        <f t="shared" si="0"/>
        <v>0</v>
      </c>
      <c r="H19" s="232">
        <f t="shared" si="1"/>
        <v>0</v>
      </c>
      <c r="I19" s="232">
        <f t="shared" si="4"/>
        <v>14824741.653333334</v>
      </c>
      <c r="J19" s="232">
        <f t="shared" si="5"/>
        <v>29724024</v>
      </c>
      <c r="K19" s="232">
        <f t="shared" si="2"/>
        <v>3759692.3466666667</v>
      </c>
      <c r="L19" s="232">
        <f t="shared" si="3"/>
        <v>13297402.846933333</v>
      </c>
      <c r="M19" s="231"/>
      <c r="N19" s="231"/>
      <c r="O19" s="232">
        <f t="shared" ref="O19:O21" si="9">(H19+J19+L19+N19)-(G19+I19+K19+M19)</f>
        <v>24436992.846933335</v>
      </c>
    </row>
    <row r="20" spans="2:15">
      <c r="B20" s="131" t="s">
        <v>201</v>
      </c>
      <c r="C20" s="274">
        <v>3</v>
      </c>
      <c r="D20" s="229"/>
      <c r="E20" s="133"/>
      <c r="F20" s="230">
        <v>10</v>
      </c>
      <c r="G20" s="232">
        <f t="shared" si="0"/>
        <v>0</v>
      </c>
      <c r="H20" s="232">
        <f t="shared" si="1"/>
        <v>0</v>
      </c>
      <c r="I20" s="232">
        <f t="shared" si="4"/>
        <v>14824741.653333334</v>
      </c>
      <c r="J20" s="232">
        <f t="shared" si="5"/>
        <v>29724024</v>
      </c>
      <c r="K20" s="232">
        <f t="shared" si="2"/>
        <v>3759692.3466666667</v>
      </c>
      <c r="L20" s="232">
        <f t="shared" si="3"/>
        <v>13297402.846933333</v>
      </c>
      <c r="M20" s="231"/>
      <c r="N20" s="231"/>
      <c r="O20" s="232">
        <f t="shared" si="9"/>
        <v>24436992.846933335</v>
      </c>
    </row>
    <row r="21" spans="2:15">
      <c r="B21" s="131" t="s">
        <v>125</v>
      </c>
      <c r="C21" s="239">
        <v>0</v>
      </c>
      <c r="D21" s="229" t="s">
        <v>104</v>
      </c>
      <c r="E21" s="133"/>
      <c r="F21" s="230">
        <v>11</v>
      </c>
      <c r="G21" s="232">
        <f t="shared" si="0"/>
        <v>0</v>
      </c>
      <c r="H21" s="232">
        <f t="shared" si="1"/>
        <v>0</v>
      </c>
      <c r="I21" s="232">
        <f t="shared" si="4"/>
        <v>14824741.653333334</v>
      </c>
      <c r="J21" s="232">
        <f t="shared" si="5"/>
        <v>29724024</v>
      </c>
      <c r="K21" s="232">
        <f t="shared" si="2"/>
        <v>3759692.3466666667</v>
      </c>
      <c r="L21" s="232">
        <f t="shared" si="3"/>
        <v>13297402.846933333</v>
      </c>
      <c r="M21" s="231"/>
      <c r="N21" s="231"/>
      <c r="O21" s="232">
        <f t="shared" si="9"/>
        <v>24436992.846933335</v>
      </c>
    </row>
    <row r="22" spans="2:15">
      <c r="B22" s="131" t="s">
        <v>127</v>
      </c>
      <c r="C22" s="239">
        <v>0</v>
      </c>
      <c r="D22" s="229" t="s">
        <v>104</v>
      </c>
      <c r="E22" s="133"/>
      <c r="F22" s="230">
        <v>12</v>
      </c>
      <c r="G22" s="232">
        <f t="shared" si="0"/>
        <v>0</v>
      </c>
      <c r="H22" s="232">
        <f t="shared" si="1"/>
        <v>0</v>
      </c>
      <c r="I22" s="232">
        <f t="shared" si="4"/>
        <v>14824741.653333334</v>
      </c>
      <c r="J22" s="232">
        <f t="shared" si="5"/>
        <v>29724024</v>
      </c>
      <c r="K22" s="232">
        <f t="shared" si="2"/>
        <v>3759692.3466666667</v>
      </c>
      <c r="L22" s="232">
        <f t="shared" si="3"/>
        <v>13297402.846933333</v>
      </c>
      <c r="M22" s="231"/>
      <c r="N22" s="232">
        <f>C8*C30</f>
        <v>0</v>
      </c>
      <c r="O22" s="232">
        <f>(H22+J22+L22+N22)-(G22+I22+K22+M22)</f>
        <v>24436992.846933335</v>
      </c>
    </row>
    <row r="23" spans="2:15">
      <c r="B23" s="131" t="s">
        <v>154</v>
      </c>
      <c r="C23" s="234">
        <f>C13*C21</f>
        <v>0</v>
      </c>
      <c r="D23" s="229" t="s">
        <v>101</v>
      </c>
      <c r="E23" s="133"/>
      <c r="F23" s="134" t="s">
        <v>116</v>
      </c>
      <c r="G23" s="98">
        <f t="shared" ref="G23:O23" si="10">NPV($C$32,G11:G22)+G10</f>
        <v>0</v>
      </c>
      <c r="H23" s="98">
        <f t="shared" si="10"/>
        <v>0</v>
      </c>
      <c r="I23" s="98">
        <f t="shared" si="10"/>
        <v>147565537.62088743</v>
      </c>
      <c r="J23" s="98">
        <f t="shared" si="10"/>
        <v>295873053.60089809</v>
      </c>
      <c r="K23" s="98">
        <f t="shared" si="10"/>
        <v>37423992.633305401</v>
      </c>
      <c r="L23" s="98">
        <f t="shared" si="10"/>
        <v>132362401.0424511</v>
      </c>
      <c r="M23" s="98">
        <f t="shared" si="10"/>
        <v>449586776.85950416</v>
      </c>
      <c r="N23" s="98">
        <f t="shared" si="10"/>
        <v>0</v>
      </c>
      <c r="O23" s="98">
        <f t="shared" si="10"/>
        <v>-206340852.47034776</v>
      </c>
    </row>
    <row r="24" spans="2:15">
      <c r="B24" s="131" t="s">
        <v>155</v>
      </c>
      <c r="C24" s="234">
        <f>C14*C22*C16/C15</f>
        <v>0</v>
      </c>
      <c r="D24" s="229" t="s">
        <v>101</v>
      </c>
      <c r="E24" s="133"/>
      <c r="F24" s="133"/>
      <c r="G24" s="133"/>
      <c r="H24" s="133"/>
      <c r="I24" s="133"/>
      <c r="J24" s="133"/>
      <c r="K24" s="133"/>
      <c r="L24" s="133"/>
      <c r="M24" s="133"/>
      <c r="N24" s="133"/>
      <c r="O24" s="133"/>
    </row>
    <row r="25" spans="2:15">
      <c r="B25" s="131" t="s">
        <v>113</v>
      </c>
      <c r="C25" s="237">
        <f>'Energy prices'!$D$6/1000</f>
        <v>0.21199999999999999</v>
      </c>
      <c r="D25" s="229" t="s">
        <v>114</v>
      </c>
      <c r="E25" s="133"/>
      <c r="F25" s="133"/>
      <c r="G25" s="133"/>
      <c r="H25" s="133"/>
      <c r="I25" s="133"/>
      <c r="J25" s="133"/>
      <c r="K25" s="133"/>
      <c r="L25" s="133"/>
      <c r="M25" s="133"/>
      <c r="N25" s="133"/>
      <c r="O25" s="133"/>
    </row>
    <row r="26" spans="2:15">
      <c r="B26" s="103" t="str">
        <f>'Sc0-SCBA'!B25</f>
        <v>Natural gas price</v>
      </c>
      <c r="C26" s="237">
        <f>'Sc0-SCBA'!C25</f>
        <v>9.4E-2</v>
      </c>
      <c r="D26" s="229" t="s">
        <v>114</v>
      </c>
      <c r="E26" s="133"/>
      <c r="F26" s="133"/>
      <c r="G26" s="133"/>
      <c r="H26" s="133"/>
      <c r="I26" s="133"/>
      <c r="J26" s="133"/>
      <c r="K26" s="133"/>
      <c r="L26" s="133"/>
      <c r="M26" s="133"/>
      <c r="N26" s="133"/>
      <c r="O26" s="133"/>
    </row>
    <row r="27" spans="2:15">
      <c r="B27" s="103" t="str">
        <f>'Sc0-CBA'!B27</f>
        <v>Petroleum price</v>
      </c>
      <c r="C27" s="237">
        <f>'Energy prices'!C7/1000</f>
        <v>0.11</v>
      </c>
      <c r="D27" s="229" t="s">
        <v>114</v>
      </c>
      <c r="E27" s="133"/>
      <c r="F27" s="133"/>
      <c r="G27" s="133"/>
      <c r="H27" s="133"/>
      <c r="I27" s="133"/>
      <c r="J27" s="133"/>
      <c r="K27" s="133"/>
      <c r="L27" s="133"/>
      <c r="M27" s="133"/>
      <c r="N27" s="133"/>
      <c r="O27" s="133"/>
    </row>
    <row r="28" spans="2:15">
      <c r="B28" s="131" t="s">
        <v>122</v>
      </c>
      <c r="C28" s="237">
        <f>'Energy prices'!C10/1000</f>
        <v>1.7000000000000001E-2</v>
      </c>
      <c r="D28" s="229" t="s">
        <v>114</v>
      </c>
      <c r="E28" s="133"/>
      <c r="F28" s="133"/>
      <c r="G28" s="133"/>
      <c r="H28" s="133"/>
      <c r="I28" s="133"/>
      <c r="J28" s="133"/>
      <c r="K28" s="133"/>
      <c r="L28" s="133"/>
      <c r="M28" s="133"/>
      <c r="N28" s="133"/>
      <c r="O28" s="133"/>
    </row>
    <row r="29" spans="2:15">
      <c r="B29" s="131" t="s">
        <v>118</v>
      </c>
      <c r="C29" s="238">
        <v>0</v>
      </c>
      <c r="D29" s="229" t="s">
        <v>86</v>
      </c>
      <c r="E29" s="133"/>
      <c r="F29" s="133"/>
      <c r="G29" s="133"/>
      <c r="H29" s="133"/>
      <c r="I29" s="133"/>
      <c r="J29" s="133"/>
      <c r="K29" s="133"/>
      <c r="L29" s="133"/>
      <c r="M29" s="133"/>
      <c r="N29" s="133"/>
      <c r="O29" s="133"/>
    </row>
    <row r="30" spans="2:15" ht="27.95">
      <c r="B30" s="131" t="s">
        <v>119</v>
      </c>
      <c r="C30" s="238">
        <v>0</v>
      </c>
      <c r="D30" s="229" t="s">
        <v>86</v>
      </c>
      <c r="E30" s="133"/>
      <c r="F30" s="133"/>
      <c r="G30" s="133"/>
      <c r="H30" s="133"/>
      <c r="I30" s="133"/>
      <c r="J30" s="133"/>
      <c r="K30" s="133"/>
      <c r="L30" s="133"/>
      <c r="M30" s="133"/>
      <c r="N30" s="133"/>
      <c r="O30" s="133"/>
    </row>
    <row r="31" spans="2:15">
      <c r="B31" s="131" t="s">
        <v>93</v>
      </c>
      <c r="C31" s="239">
        <v>0</v>
      </c>
      <c r="D31" s="229" t="s">
        <v>153</v>
      </c>
      <c r="E31" s="133"/>
      <c r="F31" s="133"/>
      <c r="G31" s="133"/>
      <c r="H31" s="133"/>
      <c r="I31" s="133"/>
      <c r="J31" s="133"/>
      <c r="K31" s="133"/>
      <c r="L31" s="133"/>
      <c r="M31" s="133"/>
      <c r="N31" s="133"/>
      <c r="O31" s="133"/>
    </row>
    <row r="32" spans="2:15">
      <c r="B32" s="131" t="s">
        <v>121</v>
      </c>
      <c r="C32" s="239">
        <v>0.03</v>
      </c>
      <c r="D32" s="229" t="s">
        <v>104</v>
      </c>
      <c r="E32" s="133"/>
      <c r="F32" s="133"/>
      <c r="G32" s="133"/>
      <c r="H32" s="133"/>
      <c r="I32" s="133"/>
      <c r="J32" s="133"/>
      <c r="K32" s="133"/>
      <c r="L32" s="133"/>
      <c r="M32" s="133"/>
      <c r="N32" s="133"/>
      <c r="O32" s="133"/>
    </row>
    <row r="34" spans="2:9">
      <c r="B34" s="133"/>
      <c r="C34" s="249"/>
      <c r="D34" s="133"/>
      <c r="E34" s="133"/>
      <c r="F34" s="133"/>
      <c r="G34" s="133"/>
      <c r="H34" s="104" t="str">
        <f>'Sc0-CBA'!G32</f>
        <v>Fuel share per households in the region</v>
      </c>
      <c r="I34" s="242"/>
    </row>
    <row r="35" spans="2:9">
      <c r="B35" s="135" t="s">
        <v>133</v>
      </c>
      <c r="C35" s="100">
        <f>NPV(C32,O11:O23)+O10</f>
        <v>-346848932.4553656</v>
      </c>
      <c r="D35" s="133"/>
      <c r="E35" s="133"/>
      <c r="F35" s="133"/>
      <c r="G35" s="133"/>
      <c r="H35" s="244" t="str">
        <f>'Sc0-CBA'!G33</f>
        <v>Natural gas</v>
      </c>
      <c r="I35" s="247">
        <f>'Sc0-CBA'!H33</f>
        <v>0.48</v>
      </c>
    </row>
    <row r="36" spans="2:9">
      <c r="B36" s="135" t="s">
        <v>134</v>
      </c>
      <c r="C36" s="101">
        <f>IRR(O10:O22)</f>
        <v>-6.0315349970859189E-2</v>
      </c>
      <c r="D36" s="133"/>
      <c r="E36" s="133"/>
      <c r="F36" s="133"/>
      <c r="G36" s="133"/>
      <c r="H36" s="244" t="str">
        <f>'Sc0-CBA'!G34</f>
        <v>Petroleum derivatives</v>
      </c>
      <c r="I36" s="247">
        <f>'Sc0-CBA'!H34</f>
        <v>0.2</v>
      </c>
    </row>
    <row r="37" spans="2:9">
      <c r="B37" s="135" t="s">
        <v>135</v>
      </c>
      <c r="C37" s="102">
        <f>(H23+J23+L23+N23)/(G23+I23+K23+M23)</f>
        <v>0.67483681606571899</v>
      </c>
      <c r="D37" s="133"/>
      <c r="E37" s="133"/>
      <c r="F37" s="133"/>
      <c r="G37" s="133"/>
      <c r="H37" s="246" t="s">
        <v>128</v>
      </c>
      <c r="I37" s="247">
        <f>'Sc0-CBA'!H35</f>
        <v>0.19</v>
      </c>
    </row>
    <row r="38" spans="2:9">
      <c r="B38" s="133"/>
      <c r="C38" s="249"/>
      <c r="D38" s="133"/>
      <c r="E38" s="133"/>
      <c r="F38" s="133"/>
      <c r="G38" s="133"/>
      <c r="H38" s="246" t="s">
        <v>78</v>
      </c>
      <c r="I38" s="247">
        <f>'Sc0-CBA'!H36</f>
        <v>0</v>
      </c>
    </row>
    <row r="39" spans="2:9">
      <c r="B39" s="133"/>
      <c r="C39" s="249"/>
      <c r="D39" s="133"/>
      <c r="E39" s="133"/>
      <c r="F39" s="133"/>
      <c r="G39" s="133"/>
      <c r="H39" s="246" t="s">
        <v>81</v>
      </c>
      <c r="I39" s="247">
        <f>'Sc0-CBA'!H37</f>
        <v>0.12</v>
      </c>
    </row>
    <row r="40" spans="2:9">
      <c r="B40" s="131" t="s">
        <v>156</v>
      </c>
      <c r="C40" s="238">
        <v>2</v>
      </c>
      <c r="D40" s="229" t="s">
        <v>157</v>
      </c>
      <c r="E40" s="133"/>
      <c r="F40" s="133"/>
      <c r="G40" s="133"/>
      <c r="H40" s="246" t="s">
        <v>116</v>
      </c>
      <c r="I40" s="247">
        <f>SUM(I35:I39)</f>
        <v>0.98999999999999988</v>
      </c>
    </row>
    <row r="41" spans="2:9">
      <c r="B41" s="131" t="s">
        <v>158</v>
      </c>
      <c r="C41" s="258">
        <v>2</v>
      </c>
      <c r="D41" s="229" t="s">
        <v>159</v>
      </c>
      <c r="E41" s="133"/>
      <c r="F41" s="133"/>
      <c r="G41" s="133"/>
      <c r="H41" s="133"/>
      <c r="I41" s="133"/>
    </row>
    <row r="42" spans="2:9">
      <c r="B42" s="131" t="s">
        <v>160</v>
      </c>
      <c r="C42" s="238">
        <v>1</v>
      </c>
      <c r="D42" s="259" t="s">
        <v>161</v>
      </c>
      <c r="E42" s="133"/>
      <c r="F42" s="133"/>
      <c r="G42" s="133"/>
      <c r="H42" s="133"/>
      <c r="I42" s="133"/>
    </row>
    <row r="45" spans="2:9">
      <c r="B45" s="145" t="s">
        <v>162</v>
      </c>
      <c r="C45" s="249"/>
      <c r="D45" s="133"/>
      <c r="E45" s="133"/>
      <c r="F45" s="133"/>
      <c r="G45" s="133"/>
      <c r="H45" s="133"/>
      <c r="I45" s="133"/>
    </row>
    <row r="46" spans="2:9">
      <c r="B46" s="216" t="s">
        <v>163</v>
      </c>
      <c r="C46" s="146" t="s">
        <v>164</v>
      </c>
      <c r="D46" s="133"/>
      <c r="E46" s="133"/>
      <c r="F46" s="133"/>
      <c r="G46" s="133"/>
      <c r="H46" s="133"/>
      <c r="I46" s="133"/>
    </row>
    <row r="47" spans="2:9">
      <c r="B47" s="217"/>
      <c r="C47" s="146" t="s">
        <v>165</v>
      </c>
      <c r="D47" s="133"/>
      <c r="E47" s="133"/>
      <c r="F47" s="133"/>
      <c r="G47" s="133"/>
      <c r="H47" s="133"/>
      <c r="I47" s="133"/>
    </row>
    <row r="48" spans="2:9">
      <c r="B48" s="147" t="s">
        <v>166</v>
      </c>
      <c r="C48" s="260">
        <f>externalities!D25</f>
        <v>51</v>
      </c>
      <c r="D48" s="133"/>
      <c r="E48" s="133"/>
      <c r="F48" s="133"/>
      <c r="G48" s="133"/>
      <c r="H48" s="133"/>
      <c r="I48" s="133"/>
    </row>
    <row r="49" spans="2:4">
      <c r="B49" s="147" t="s">
        <v>167</v>
      </c>
      <c r="C49" s="260">
        <f>externalities!D27</f>
        <v>43.4</v>
      </c>
      <c r="D49" s="133"/>
    </row>
    <row r="50" spans="2:4">
      <c r="B50" s="147" t="s">
        <v>168</v>
      </c>
      <c r="C50" s="260">
        <f>externalities!D22</f>
        <v>36</v>
      </c>
      <c r="D50" s="133"/>
    </row>
    <row r="51" spans="2:4">
      <c r="B51" s="147" t="s">
        <v>169</v>
      </c>
      <c r="C51" s="260">
        <f>externalities!D24</f>
        <v>32.200000000000003</v>
      </c>
      <c r="D51" s="133"/>
    </row>
    <row r="52" spans="2:4">
      <c r="B52" s="147" t="s">
        <v>170</v>
      </c>
      <c r="C52" s="260">
        <f>externalities!D17</f>
        <v>36</v>
      </c>
      <c r="D52" s="133"/>
    </row>
    <row r="53" spans="2:4">
      <c r="B53" s="147" t="s">
        <v>171</v>
      </c>
      <c r="C53" s="260">
        <f>externalities!D16</f>
        <v>21.8</v>
      </c>
      <c r="D53" s="133"/>
    </row>
    <row r="54" spans="2:4">
      <c r="B54" s="147" t="s">
        <v>172</v>
      </c>
      <c r="C54" s="260">
        <f>externalities!D19</f>
        <v>48.5</v>
      </c>
      <c r="D54" s="133"/>
    </row>
    <row r="55" spans="2:4">
      <c r="B55" s="147" t="s">
        <v>173</v>
      </c>
      <c r="C55" s="260">
        <f>externalities!D35</f>
        <v>24</v>
      </c>
      <c r="D55" s="133"/>
    </row>
    <row r="56" spans="2:4">
      <c r="B56" s="147" t="s">
        <v>174</v>
      </c>
      <c r="C56" s="260">
        <f>externalities!D31</f>
        <v>9.6</v>
      </c>
      <c r="D56" s="133"/>
    </row>
    <row r="57" spans="2:4">
      <c r="B57" s="147" t="s">
        <v>78</v>
      </c>
      <c r="C57" s="260">
        <f>externalities!D34</f>
        <v>174</v>
      </c>
      <c r="D57" s="133"/>
    </row>
    <row r="58" spans="2:4">
      <c r="B58" s="147" t="s">
        <v>175</v>
      </c>
      <c r="C58" s="260">
        <f>externalities!D18</f>
        <v>47</v>
      </c>
      <c r="D58" s="133"/>
    </row>
    <row r="59" spans="2:4">
      <c r="B59" s="109" t="str">
        <f>'Sc0-SCBA'!B63</f>
        <v>District heating (lignite)</v>
      </c>
      <c r="C59" s="260">
        <f>'Sc0-SCBA'!C63</f>
        <v>58</v>
      </c>
      <c r="D59" s="133"/>
    </row>
    <row r="61" spans="2:4">
      <c r="B61" s="145" t="s">
        <v>177</v>
      </c>
      <c r="C61" s="249"/>
      <c r="D61" s="133"/>
    </row>
    <row r="62" spans="2:4">
      <c r="B62" s="146" t="s">
        <v>178</v>
      </c>
      <c r="C62" s="261">
        <v>0.03</v>
      </c>
      <c r="D62" s="262"/>
    </row>
    <row r="63" spans="2:4">
      <c r="B63" s="146" t="s">
        <v>179</v>
      </c>
      <c r="C63" s="234">
        <f>C64+C65</f>
        <v>14899282.346666666</v>
      </c>
      <c r="D63" s="262" t="s">
        <v>86</v>
      </c>
    </row>
    <row r="64" spans="2:4">
      <c r="B64" s="148" t="s">
        <v>180</v>
      </c>
      <c r="C64" s="234">
        <f>J11-I11</f>
        <v>14899282.346666666</v>
      </c>
      <c r="D64" s="262" t="s">
        <v>86</v>
      </c>
    </row>
    <row r="65" spans="2:4">
      <c r="B65" s="148" t="s">
        <v>181</v>
      </c>
      <c r="C65" s="234">
        <f>H11-G11</f>
        <v>0</v>
      </c>
      <c r="D65" s="262" t="s">
        <v>86</v>
      </c>
    </row>
    <row r="66" spans="2:4">
      <c r="B66" s="131" t="s">
        <v>182</v>
      </c>
      <c r="C66" s="234">
        <f>IF(externalities!$C$12=1,C63/C62,0)</f>
        <v>496642744.8888889</v>
      </c>
      <c r="D66" s="262" t="s">
        <v>86</v>
      </c>
    </row>
    <row r="68" spans="2:4">
      <c r="B68" s="145" t="s">
        <v>183</v>
      </c>
      <c r="C68" s="249"/>
      <c r="D68" s="133"/>
    </row>
    <row r="69" spans="2:4">
      <c r="B69" s="149" t="s">
        <v>183</v>
      </c>
      <c r="C69" s="146" t="s">
        <v>164</v>
      </c>
      <c r="D69" s="150"/>
    </row>
    <row r="70" spans="2:4">
      <c r="B70" s="147" t="s">
        <v>184</v>
      </c>
      <c r="C70" s="151">
        <v>5</v>
      </c>
      <c r="D70" s="133"/>
    </row>
    <row r="71" spans="2:4">
      <c r="B71" s="147" t="s">
        <v>185</v>
      </c>
      <c r="C71" s="151">
        <v>4</v>
      </c>
      <c r="D71" s="133"/>
    </row>
    <row r="72" spans="2:4">
      <c r="B72" s="147" t="s">
        <v>186</v>
      </c>
      <c r="C72" s="151">
        <v>3</v>
      </c>
      <c r="D72" s="133"/>
    </row>
    <row r="73" spans="2:4">
      <c r="B73" s="147" t="s">
        <v>187</v>
      </c>
      <c r="C73" s="151">
        <v>2</v>
      </c>
      <c r="D73" s="133"/>
    </row>
    <row r="74" spans="2:4">
      <c r="B74" s="147" t="s">
        <v>188</v>
      </c>
      <c r="C74" s="151">
        <v>1</v>
      </c>
      <c r="D74" s="133"/>
    </row>
    <row r="76" spans="2:4">
      <c r="B76" s="151" t="s">
        <v>189</v>
      </c>
      <c r="C76" s="263">
        <f>(IF(C42=1,0.2,IF(C42=2,0.4,IF(C42=3,0.6,IF(C42=4,0.8,IF(C42=5,1,0))))))</f>
        <v>0.2</v>
      </c>
      <c r="D76" s="151" t="s">
        <v>190</v>
      </c>
    </row>
    <row r="77" spans="2:4">
      <c r="B77" s="151" t="s">
        <v>189</v>
      </c>
      <c r="C77" s="239">
        <v>0.1</v>
      </c>
      <c r="D77" s="151" t="s">
        <v>191</v>
      </c>
    </row>
    <row r="79" spans="2:4">
      <c r="B79" s="152" t="s">
        <v>192</v>
      </c>
      <c r="C79" s="245">
        <f>'Sc0-SCBA'!C83</f>
        <v>0.21</v>
      </c>
      <c r="D79" s="133"/>
    </row>
    <row r="80" spans="2:4">
      <c r="B80" s="133"/>
      <c r="C80" s="133"/>
      <c r="D80" s="133"/>
    </row>
    <row r="81" spans="2:3">
      <c r="B81" s="133"/>
      <c r="C81" s="133"/>
    </row>
    <row r="82" spans="2:3">
      <c r="B82" s="137"/>
      <c r="C82" s="133"/>
    </row>
  </sheetData>
  <sheetProtection algorithmName="SHA-512" hashValue="E0qv1/cuqG6sb7ehByr9bczvqvb3C2t2hFN99y4lCfDn10rve5fXI3rLC+6uaOwTTb2k3dc1OPU+VgWag2qW1Q==" saltValue="p8mTog8MtBK8DW43xbyp/Q==" spinCount="100000" sheet="1" objects="1" scenarios="1" selectLockedCells="1"/>
  <mergeCells count="3">
    <mergeCell ref="B46:B47"/>
    <mergeCell ref="C1:N3"/>
    <mergeCell ref="B4:D4"/>
  </mergeCells>
  <pageMargins left="0.7" right="0.7" top="0.75" bottom="0.75" header="0.3" footer="0.3"/>
  <pageSetup orientation="portrait" horizontalDpi="4294967293" verticalDpi="4294967293"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3F551-CE58-4112-B461-FA208839E1B5}">
  <sheetPr>
    <tabColor theme="7" tint="-0.499984740745262"/>
  </sheetPr>
  <dimension ref="A1:P64"/>
  <sheetViews>
    <sheetView zoomScale="85" zoomScaleNormal="85" workbookViewId="0">
      <selection activeCell="C9" sqref="C9"/>
    </sheetView>
  </sheetViews>
  <sheetFormatPr defaultColWidth="0" defaultRowHeight="14.1"/>
  <cols>
    <col min="1" max="1" width="3.5703125" style="121" customWidth="1"/>
    <col min="2" max="2" width="58" style="121" customWidth="1"/>
    <col min="3" max="3" width="20.5703125" style="136" customWidth="1"/>
    <col min="4" max="4" width="20.140625" style="121" bestFit="1" customWidth="1"/>
    <col min="5" max="6" width="8.85546875" style="121" customWidth="1"/>
    <col min="7" max="7" width="14.5703125" style="121" bestFit="1" customWidth="1"/>
    <col min="8" max="8" width="13.42578125" style="121" bestFit="1" customWidth="1"/>
    <col min="9" max="9" width="18.140625" style="121" bestFit="1" customWidth="1"/>
    <col min="10" max="10" width="17" style="121" bestFit="1" customWidth="1"/>
    <col min="11" max="11" width="18.42578125" style="121" bestFit="1" customWidth="1"/>
    <col min="12" max="12" width="18.5703125" style="121" bestFit="1" customWidth="1"/>
    <col min="13" max="13" width="20" style="121" bestFit="1" customWidth="1"/>
    <col min="14" max="14" width="8.85546875" style="121" customWidth="1"/>
    <col min="15" max="16" width="0" style="121" hidden="1" customWidth="1"/>
    <col min="17" max="16384" width="8.85546875" style="121" hidden="1"/>
  </cols>
  <sheetData>
    <row r="1" spans="1:16" ht="14.1" customHeight="1">
      <c r="A1" s="133"/>
      <c r="B1" s="133"/>
      <c r="C1" s="218" t="s">
        <v>206</v>
      </c>
      <c r="D1" s="218"/>
      <c r="E1" s="218"/>
      <c r="F1" s="218"/>
      <c r="G1" s="218"/>
      <c r="H1" s="218"/>
      <c r="I1" s="218"/>
      <c r="J1" s="218"/>
      <c r="K1" s="218"/>
      <c r="L1" s="218"/>
      <c r="M1" s="218"/>
      <c r="N1" s="218"/>
      <c r="O1" s="133"/>
      <c r="P1" s="133"/>
    </row>
    <row r="2" spans="1:16" ht="14.1" customHeight="1">
      <c r="A2" s="133"/>
      <c r="B2" s="133"/>
      <c r="C2" s="218"/>
      <c r="D2" s="218"/>
      <c r="E2" s="218"/>
      <c r="F2" s="218"/>
      <c r="G2" s="218"/>
      <c r="H2" s="218"/>
      <c r="I2" s="218"/>
      <c r="J2" s="218"/>
      <c r="K2" s="218"/>
      <c r="L2" s="218"/>
      <c r="M2" s="218"/>
      <c r="N2" s="218"/>
      <c r="O2" s="133"/>
      <c r="P2" s="133"/>
    </row>
    <row r="3" spans="1:16" ht="14.1" customHeight="1">
      <c r="A3" s="133"/>
      <c r="B3" s="133"/>
      <c r="C3" s="218"/>
      <c r="D3" s="218"/>
      <c r="E3" s="218"/>
      <c r="F3" s="218"/>
      <c r="G3" s="218"/>
      <c r="H3" s="218"/>
      <c r="I3" s="218"/>
      <c r="J3" s="218"/>
      <c r="K3" s="218"/>
      <c r="L3" s="218"/>
      <c r="M3" s="218"/>
      <c r="N3" s="218"/>
      <c r="O3" s="133"/>
      <c r="P3" s="133"/>
    </row>
    <row r="4" spans="1:16" ht="14.45">
      <c r="A4" s="60"/>
      <c r="B4" s="214"/>
      <c r="C4" s="226"/>
      <c r="D4" s="226"/>
      <c r="E4" s="61"/>
      <c r="F4" s="62"/>
      <c r="G4" s="60"/>
      <c r="H4" s="63"/>
      <c r="I4" s="63"/>
      <c r="J4" s="61"/>
      <c r="K4" s="64"/>
      <c r="L4" s="64"/>
      <c r="M4" s="133"/>
      <c r="N4" s="133"/>
      <c r="O4" s="133"/>
      <c r="P4" s="133"/>
    </row>
    <row r="5" spans="1:16" ht="14.45">
      <c r="A5" s="122"/>
      <c r="B5" s="123"/>
      <c r="C5" s="124"/>
      <c r="D5" s="124"/>
      <c r="E5" s="125"/>
      <c r="F5" s="126"/>
      <c r="G5" s="122"/>
      <c r="H5" s="123"/>
      <c r="I5" s="123"/>
      <c r="J5" s="125"/>
      <c r="K5" s="126"/>
      <c r="L5" s="126"/>
      <c r="M5" s="133"/>
      <c r="N5" s="133"/>
      <c r="O5" s="133"/>
      <c r="P5" s="133"/>
    </row>
    <row r="6" spans="1:16" ht="15">
      <c r="A6" s="227"/>
      <c r="B6" s="127" t="s">
        <v>83</v>
      </c>
      <c r="C6" s="128" t="s">
        <v>84</v>
      </c>
      <c r="D6" s="128"/>
      <c r="E6" s="128"/>
      <c r="F6" s="128"/>
      <c r="G6" s="128"/>
      <c r="H6" s="129"/>
      <c r="I6" s="129"/>
      <c r="J6" s="129"/>
      <c r="K6" s="130"/>
      <c r="L6" s="228"/>
      <c r="M6" s="227"/>
      <c r="N6" s="227"/>
      <c r="O6" s="227"/>
      <c r="P6" s="227"/>
    </row>
    <row r="7" spans="1:16" ht="15">
      <c r="A7" s="227"/>
      <c r="B7" s="127"/>
      <c r="C7" s="128"/>
      <c r="D7" s="128"/>
      <c r="E7" s="128"/>
      <c r="F7" s="128"/>
      <c r="G7" s="128"/>
      <c r="H7" s="129"/>
      <c r="I7" s="129"/>
      <c r="J7" s="129"/>
      <c r="K7" s="130"/>
      <c r="L7" s="228"/>
      <c r="M7" s="227"/>
      <c r="N7" s="227"/>
      <c r="O7" s="227"/>
      <c r="P7" s="227"/>
    </row>
    <row r="9" spans="1:16">
      <c r="A9" s="133"/>
      <c r="B9" s="131" t="s">
        <v>85</v>
      </c>
      <c r="C9" s="254">
        <f>'Sc0-CBA'!C9</f>
        <v>680000000</v>
      </c>
      <c r="D9" s="229" t="s">
        <v>86</v>
      </c>
      <c r="E9" s="133"/>
      <c r="F9" s="132" t="s">
        <v>87</v>
      </c>
      <c r="G9" s="132" t="s">
        <v>207</v>
      </c>
      <c r="H9" s="132" t="s">
        <v>208</v>
      </c>
      <c r="I9" s="132" t="s">
        <v>90</v>
      </c>
      <c r="J9" s="132" t="s">
        <v>91</v>
      </c>
      <c r="K9" s="132" t="s">
        <v>92</v>
      </c>
      <c r="L9" s="132" t="s">
        <v>93</v>
      </c>
      <c r="M9" s="132" t="s">
        <v>94</v>
      </c>
      <c r="N9" s="133"/>
      <c r="O9" s="133"/>
      <c r="P9" s="133"/>
    </row>
    <row r="10" spans="1:16">
      <c r="A10" s="133"/>
      <c r="B10" s="131" t="s">
        <v>209</v>
      </c>
      <c r="C10" s="234">
        <f>'Sc2-CBA'!C12</f>
        <v>2000</v>
      </c>
      <c r="D10" s="229" t="s">
        <v>86</v>
      </c>
      <c r="E10" s="133"/>
      <c r="F10" s="230">
        <v>0</v>
      </c>
      <c r="G10" s="231"/>
      <c r="H10" s="231"/>
      <c r="I10" s="231"/>
      <c r="J10" s="231"/>
      <c r="K10" s="232">
        <f>C9-C10*C19</f>
        <v>637123490.65229046</v>
      </c>
      <c r="L10" s="231"/>
      <c r="M10" s="232">
        <f>(H10+J10+L10)-(G10+I10+K10)</f>
        <v>-637123490.65229046</v>
      </c>
      <c r="N10" s="133"/>
      <c r="O10" s="133"/>
      <c r="P10" s="133"/>
    </row>
    <row r="11" spans="1:16">
      <c r="A11" s="133"/>
      <c r="B11" s="131" t="s">
        <v>210</v>
      </c>
      <c r="C11" s="234">
        <f>'Sc1 Deep-CBA'!C10</f>
        <v>17000</v>
      </c>
      <c r="D11" s="229" t="s">
        <v>86</v>
      </c>
      <c r="E11" s="133"/>
      <c r="F11" s="230">
        <v>1</v>
      </c>
      <c r="G11" s="232">
        <f t="shared" ref="G11:G35" si="0">$C$35*$C$19</f>
        <v>2143825.4673854788</v>
      </c>
      <c r="H11" s="232">
        <f t="shared" ref="H11:H35" si="1">$C$34</f>
        <v>0</v>
      </c>
      <c r="I11" s="232">
        <f>(($C$21*$C$22*(1-$C$25))/$C$23*$C$30*$C$19*$I$43)+(($C$21*$C$40*(1-$C$25))/$C$23*$C$30*$C$19*$I$44)+(($C$21*$C$42*(1-$C$25))/$C$23*$C$30*$C$19*$I$45)+(($C$21*$C$41*(1-$C$25))/$C$23*$C$30*$C$19*$I$46)</f>
        <v>1640229.8887102366</v>
      </c>
      <c r="J11" s="232">
        <f>($C$26*$C$30+$C$21*$C$45+$C$29*($C$30-$C$32))*$C$19*$I$43+($C$26*$C$30+$C$21*$C$43+$C$29*($C$30-$C$32))*$C$19*$I$44+($C$26*$C$30+$C$21*$C$30+$C$29*($C$30-$C$32))*$C$19*$I$45+($C$26*$C$30+$C$21*$C$44+$C$29*($C$30-$C$32))*$C$19*$I$46</f>
        <v>20802681.597780511</v>
      </c>
      <c r="K11" s="231"/>
      <c r="L11" s="231"/>
      <c r="M11" s="232">
        <f>(H11+J11+L11)-(G11+I11+K11)</f>
        <v>17018626.241684794</v>
      </c>
      <c r="N11" s="133"/>
      <c r="O11" s="133"/>
      <c r="P11" s="133"/>
    </row>
    <row r="12" spans="1:16">
      <c r="A12" s="133"/>
      <c r="B12" s="131" t="s">
        <v>211</v>
      </c>
      <c r="C12" s="234">
        <f>'Sc2-CBA'!C10</f>
        <v>10000</v>
      </c>
      <c r="D12" s="229" t="s">
        <v>86</v>
      </c>
      <c r="E12" s="133"/>
      <c r="F12" s="230">
        <v>2</v>
      </c>
      <c r="G12" s="232">
        <f t="shared" si="0"/>
        <v>2143825.4673854788</v>
      </c>
      <c r="H12" s="232">
        <f t="shared" si="1"/>
        <v>0</v>
      </c>
      <c r="I12" s="232">
        <f t="shared" ref="I12:I35" si="2">(($C$21*$C$22*(1-$C$25))/$C$23*$C$30*$C$19*$I$43)+(($C$21*$C$40*(1-$C$25))/$C$23*$C$30*$C$19*$I$44)+(($C$21*$C$42*(1-$C$25))/$C$23*$C$30*$C$19*$I$45)+(($C$21*$C$41*(1-$C$25))/$C$23*$C$30*$C$19*$I$46)</f>
        <v>1640229.8887102366</v>
      </c>
      <c r="J12" s="232">
        <f>($C$26*$C$30+$C$21*$C$45+$C$29*($C$30-$C$32))*$C$19*$I$43+($C$26*$C$30+$C$21*$C$43+$C$29*($C$30-$C$32))*$C$19*$I$44+($C$26*$C$30+$C$21*$C$30+$C$29*($C$30-$C$32))*$C$19*$I$45+($C$26*$C$30+$C$21*$C$44+$C$29*($C$30-$C$32))*$C$19*$I$46</f>
        <v>20802681.597780511</v>
      </c>
      <c r="K12" s="231"/>
      <c r="L12" s="231"/>
      <c r="M12" s="232">
        <f t="shared" ref="M12:M17" si="3">(H12+J12+L12)-(G12+I12+K12)</f>
        <v>17018626.241684794</v>
      </c>
      <c r="N12" s="133"/>
      <c r="O12" s="133"/>
      <c r="P12" s="133"/>
    </row>
    <row r="13" spans="1:16">
      <c r="A13" s="133"/>
      <c r="B13" s="131" t="s">
        <v>212</v>
      </c>
      <c r="C13" s="234">
        <f>C15*(C17+C18)</f>
        <v>5469</v>
      </c>
      <c r="D13" s="229" t="s">
        <v>86</v>
      </c>
      <c r="E13" s="133"/>
      <c r="F13" s="230">
        <v>3</v>
      </c>
      <c r="G13" s="232">
        <f t="shared" si="0"/>
        <v>2143825.4673854788</v>
      </c>
      <c r="H13" s="232">
        <f t="shared" si="1"/>
        <v>0</v>
      </c>
      <c r="I13" s="232">
        <f t="shared" si="2"/>
        <v>1640229.8887102366</v>
      </c>
      <c r="J13" s="232">
        <f>($C$26*$C$30+$C$21*C57+$C$29*($C$30-$C$32))*$C$19*$I$43+($C$26*$C$30+$C$21*C61+$C$29*($C$30-$C$32))*$C$19*$I$44+($C$26*$C$30+$C$21*$C$30+$C$29*($C$30-$C$32))*$C$19*$I$45+($C$26*$C$30+$C$21*$C$44+$C$29*($C$30-$C$32))*$C$19*$I$46</f>
        <v>20846685.38201078</v>
      </c>
      <c r="K13" s="231"/>
      <c r="L13" s="231"/>
      <c r="M13" s="232">
        <f t="shared" si="3"/>
        <v>17062630.025915064</v>
      </c>
      <c r="N13" s="133"/>
      <c r="O13" s="133"/>
      <c r="P13" s="133"/>
    </row>
    <row r="14" spans="1:16">
      <c r="A14" s="133"/>
      <c r="B14" s="131" t="s">
        <v>96</v>
      </c>
      <c r="C14" s="234">
        <f>(C11+C12+C13-C18*C15)*(1-C52)</f>
        <v>31719</v>
      </c>
      <c r="D14" s="229" t="s">
        <v>86</v>
      </c>
      <c r="E14" s="133"/>
      <c r="F14" s="230">
        <v>4</v>
      </c>
      <c r="G14" s="232">
        <f t="shared" si="0"/>
        <v>2143825.4673854788</v>
      </c>
      <c r="H14" s="232">
        <f t="shared" si="1"/>
        <v>0</v>
      </c>
      <c r="I14" s="232">
        <f t="shared" si="2"/>
        <v>1640229.8887102366</v>
      </c>
      <c r="J14" s="232">
        <f>($C$26*$C$30+$C$21*C58+$C$29*($C$30-$C$32))*$C$19*$I$43+($C$26*$C$30+$C$21*C62+$C$29*($C$30-$C$32))*$C$19*$I$44+($C$26*$C$30+$C$21*$C$30+$C$29*($C$30-$C$32))*$C$19*$I$45+($C$26*$C$30+$C$21*$C$44+$C$29*($C$30-$C$32))*$C$19*$I$46</f>
        <v>21101466.175856743</v>
      </c>
      <c r="K14" s="231"/>
      <c r="L14" s="231"/>
      <c r="M14" s="232">
        <f t="shared" si="3"/>
        <v>17317410.819761027</v>
      </c>
      <c r="N14" s="133"/>
      <c r="O14" s="133"/>
      <c r="P14" s="133"/>
    </row>
    <row r="15" spans="1:16">
      <c r="A15" s="133"/>
      <c r="B15" s="131" t="s">
        <v>213</v>
      </c>
      <c r="C15" s="95">
        <v>3</v>
      </c>
      <c r="D15" s="229" t="s">
        <v>214</v>
      </c>
      <c r="E15" s="133"/>
      <c r="F15" s="230">
        <v>5</v>
      </c>
      <c r="G15" s="232">
        <f t="shared" si="0"/>
        <v>2143825.4673854788</v>
      </c>
      <c r="H15" s="232">
        <f t="shared" si="1"/>
        <v>0</v>
      </c>
      <c r="I15" s="232">
        <f t="shared" si="2"/>
        <v>1640229.8887102366</v>
      </c>
      <c r="J15" s="232">
        <f>($C$26*$C$30+$C$21*C59+$C$29*($C$30-$C$32))*$C$19*$I$43+($C$26*$C$30+$C$21*C63+$C$29*($C$30-$C$32))*$C$19*$I$44+($C$26*$C$30+$C$21*$C$30+$C$29*($C$30-$C$32))*$C$19*$I$45+($C$26*$C$30+$C$21*$C$44+$C$29*($C$30-$C$32))*$C$19*$I$46</f>
        <v>21160798.689492103</v>
      </c>
      <c r="K15" s="231"/>
      <c r="L15" s="231"/>
      <c r="M15" s="232">
        <f t="shared" si="3"/>
        <v>17376743.333396386</v>
      </c>
      <c r="N15" s="133"/>
      <c r="O15" s="133"/>
      <c r="P15" s="133"/>
    </row>
    <row r="16" spans="1:16">
      <c r="A16" s="133"/>
      <c r="B16" s="131" t="s">
        <v>215</v>
      </c>
      <c r="C16" s="95">
        <v>1300</v>
      </c>
      <c r="D16" s="229" t="s">
        <v>216</v>
      </c>
      <c r="E16" s="133"/>
      <c r="F16" s="230">
        <v>6</v>
      </c>
      <c r="G16" s="232">
        <f t="shared" si="0"/>
        <v>2143825.4673854788</v>
      </c>
      <c r="H16" s="232">
        <f t="shared" si="1"/>
        <v>0</v>
      </c>
      <c r="I16" s="232">
        <f t="shared" si="2"/>
        <v>1640229.8887102366</v>
      </c>
      <c r="J16" s="232">
        <f t="shared" ref="J16:J35" si="4">($C$26*$C$30+$C$21*$C$60+$C$29*($C$30-$C$32))*$C$19*$I$43+($C$26*$C$30+$C$21*$C$64+$C$29*($C$30-$C$32))*$C$19*$I$44+($C$26*$C$30+$C$21*$C$30+$C$29*($C$30-$C$32))*$C$19*$I$45+($C$26*$C$30+$C$21*$C$44+$C$29*($C$30-$C$32))*$C$19*$I$46</f>
        <v>21220131.203127459</v>
      </c>
      <c r="K16" s="231"/>
      <c r="L16" s="231"/>
      <c r="M16" s="232">
        <f t="shared" si="3"/>
        <v>17436075.847031742</v>
      </c>
      <c r="N16" s="133"/>
      <c r="O16" s="133"/>
      <c r="P16" s="133"/>
    </row>
    <row r="17" spans="2:13">
      <c r="B17" s="131" t="s">
        <v>217</v>
      </c>
      <c r="C17" s="105">
        <f>C16*(1+C54)</f>
        <v>1573</v>
      </c>
      <c r="D17" s="229" t="s">
        <v>216</v>
      </c>
      <c r="E17" s="133"/>
      <c r="F17" s="230">
        <v>7</v>
      </c>
      <c r="G17" s="232">
        <f t="shared" si="0"/>
        <v>2143825.4673854788</v>
      </c>
      <c r="H17" s="232">
        <f t="shared" si="1"/>
        <v>0</v>
      </c>
      <c r="I17" s="232">
        <f t="shared" si="2"/>
        <v>1640229.8887102366</v>
      </c>
      <c r="J17" s="232">
        <f t="shared" si="4"/>
        <v>21220131.203127459</v>
      </c>
      <c r="K17" s="231"/>
      <c r="L17" s="231"/>
      <c r="M17" s="232">
        <f t="shared" si="3"/>
        <v>17436075.847031742</v>
      </c>
    </row>
    <row r="18" spans="2:13">
      <c r="B18" s="131" t="s">
        <v>218</v>
      </c>
      <c r="C18" s="95">
        <v>250</v>
      </c>
      <c r="D18" s="229"/>
      <c r="E18" s="133"/>
      <c r="F18" s="230">
        <v>8</v>
      </c>
      <c r="G18" s="232">
        <f t="shared" si="0"/>
        <v>2143825.4673854788</v>
      </c>
      <c r="H18" s="232">
        <f t="shared" si="1"/>
        <v>0</v>
      </c>
      <c r="I18" s="232">
        <f t="shared" si="2"/>
        <v>1640229.8887102366</v>
      </c>
      <c r="J18" s="232">
        <f t="shared" si="4"/>
        <v>21220131.203127459</v>
      </c>
      <c r="K18" s="231"/>
      <c r="L18" s="231"/>
      <c r="M18" s="232">
        <f t="shared" ref="M18:M35" si="5">(H18+J18+L18)-(G18+I18+K18)</f>
        <v>17436075.847031742</v>
      </c>
    </row>
    <row r="19" spans="2:13">
      <c r="B19" s="131" t="s">
        <v>151</v>
      </c>
      <c r="C19" s="235">
        <f>C9/C14</f>
        <v>21438.254673854786</v>
      </c>
      <c r="D19" s="229" t="s">
        <v>194</v>
      </c>
      <c r="E19" s="133"/>
      <c r="F19" s="230">
        <v>9</v>
      </c>
      <c r="G19" s="232">
        <f t="shared" si="0"/>
        <v>2143825.4673854788</v>
      </c>
      <c r="H19" s="232">
        <f t="shared" si="1"/>
        <v>0</v>
      </c>
      <c r="I19" s="232">
        <f t="shared" si="2"/>
        <v>1640229.8887102366</v>
      </c>
      <c r="J19" s="232">
        <f t="shared" si="4"/>
        <v>21220131.203127459</v>
      </c>
      <c r="K19" s="231"/>
      <c r="L19" s="231"/>
      <c r="M19" s="232">
        <f t="shared" si="5"/>
        <v>17436075.847031742</v>
      </c>
    </row>
    <row r="20" spans="2:13">
      <c r="B20" s="131" t="s">
        <v>219</v>
      </c>
      <c r="C20" s="235">
        <f>'Sc0-CBA'!C14</f>
        <v>104</v>
      </c>
      <c r="D20" s="229" t="s">
        <v>101</v>
      </c>
      <c r="E20" s="133"/>
      <c r="F20" s="230">
        <v>10</v>
      </c>
      <c r="G20" s="232">
        <f t="shared" si="0"/>
        <v>2143825.4673854788</v>
      </c>
      <c r="H20" s="232">
        <f t="shared" si="1"/>
        <v>0</v>
      </c>
      <c r="I20" s="232">
        <f t="shared" si="2"/>
        <v>1640229.8887102366</v>
      </c>
      <c r="J20" s="232">
        <f t="shared" si="4"/>
        <v>21220131.203127459</v>
      </c>
      <c r="K20" s="231"/>
      <c r="L20" s="231"/>
      <c r="M20" s="232">
        <f t="shared" si="5"/>
        <v>17436075.847031742</v>
      </c>
    </row>
    <row r="21" spans="2:13">
      <c r="B21" s="131" t="s">
        <v>220</v>
      </c>
      <c r="C21" s="235">
        <f>'Sc0-CBA'!C15</f>
        <v>4070</v>
      </c>
      <c r="D21" s="229" t="s">
        <v>101</v>
      </c>
      <c r="E21" s="133"/>
      <c r="F21" s="230">
        <v>11</v>
      </c>
      <c r="G21" s="232">
        <f t="shared" si="0"/>
        <v>2143825.4673854788</v>
      </c>
      <c r="H21" s="232">
        <f t="shared" si="1"/>
        <v>0</v>
      </c>
      <c r="I21" s="232">
        <f t="shared" si="2"/>
        <v>1640229.8887102366</v>
      </c>
      <c r="J21" s="232">
        <f t="shared" si="4"/>
        <v>21220131.203127459</v>
      </c>
      <c r="K21" s="231"/>
      <c r="L21" s="231"/>
      <c r="M21" s="232">
        <f t="shared" si="5"/>
        <v>17436075.847031742</v>
      </c>
    </row>
    <row r="22" spans="2:13">
      <c r="B22" s="103" t="str">
        <f>'Sc0-CBA'!B17</f>
        <v>Degree of efficiency of existing natural gas boiler</v>
      </c>
      <c r="C22" s="279">
        <f>'Sc2-CBA'!C17</f>
        <v>0.85</v>
      </c>
      <c r="D22" s="229" t="s">
        <v>104</v>
      </c>
      <c r="E22" s="133"/>
      <c r="F22" s="230">
        <v>12</v>
      </c>
      <c r="G22" s="232">
        <f t="shared" si="0"/>
        <v>2143825.4673854788</v>
      </c>
      <c r="H22" s="232">
        <f t="shared" si="1"/>
        <v>0</v>
      </c>
      <c r="I22" s="232">
        <f t="shared" si="2"/>
        <v>1640229.8887102366</v>
      </c>
      <c r="J22" s="232">
        <f t="shared" si="4"/>
        <v>21220131.203127459</v>
      </c>
      <c r="K22" s="231"/>
      <c r="L22" s="231"/>
      <c r="M22" s="232">
        <f t="shared" si="5"/>
        <v>17436075.847031742</v>
      </c>
    </row>
    <row r="23" spans="2:13">
      <c r="B23" s="131" t="s">
        <v>221</v>
      </c>
      <c r="C23" s="235">
        <f>'Sc2-CBA'!C21</f>
        <v>3</v>
      </c>
      <c r="D23" s="229"/>
      <c r="E23" s="133"/>
      <c r="F23" s="230">
        <v>13</v>
      </c>
      <c r="G23" s="232">
        <f t="shared" si="0"/>
        <v>2143825.4673854788</v>
      </c>
      <c r="H23" s="232">
        <f t="shared" si="1"/>
        <v>0</v>
      </c>
      <c r="I23" s="232">
        <f t="shared" si="2"/>
        <v>1640229.8887102366</v>
      </c>
      <c r="J23" s="232">
        <f t="shared" si="4"/>
        <v>21220131.203127459</v>
      </c>
      <c r="K23" s="231"/>
      <c r="L23" s="231"/>
      <c r="M23" s="232">
        <f t="shared" si="5"/>
        <v>17436075.847031742</v>
      </c>
    </row>
    <row r="24" spans="2:13">
      <c r="B24" s="131" t="s">
        <v>125</v>
      </c>
      <c r="C24" s="279">
        <f>'Sc1 Deep-CBA'!C16</f>
        <v>0.69</v>
      </c>
      <c r="D24" s="229" t="s">
        <v>104</v>
      </c>
      <c r="E24" s="133"/>
      <c r="F24" s="230">
        <v>14</v>
      </c>
      <c r="G24" s="232">
        <f t="shared" si="0"/>
        <v>2143825.4673854788</v>
      </c>
      <c r="H24" s="232">
        <f t="shared" si="1"/>
        <v>0</v>
      </c>
      <c r="I24" s="232">
        <f t="shared" si="2"/>
        <v>1640229.8887102366</v>
      </c>
      <c r="J24" s="232">
        <f t="shared" si="4"/>
        <v>21220131.203127459</v>
      </c>
      <c r="K24" s="231"/>
      <c r="L24" s="231"/>
      <c r="M24" s="232">
        <f t="shared" si="5"/>
        <v>17436075.847031742</v>
      </c>
    </row>
    <row r="25" spans="2:13">
      <c r="B25" s="131" t="s">
        <v>127</v>
      </c>
      <c r="C25" s="279">
        <f>'Sc1 Deep-CBA'!C17</f>
        <v>0.69</v>
      </c>
      <c r="D25" s="229" t="s">
        <v>104</v>
      </c>
      <c r="E25" s="133"/>
      <c r="F25" s="230">
        <v>15</v>
      </c>
      <c r="G25" s="232">
        <f t="shared" si="0"/>
        <v>2143825.4673854788</v>
      </c>
      <c r="H25" s="232">
        <f t="shared" si="1"/>
        <v>0</v>
      </c>
      <c r="I25" s="232">
        <f t="shared" si="2"/>
        <v>1640229.8887102366</v>
      </c>
      <c r="J25" s="232">
        <f t="shared" si="4"/>
        <v>21220131.203127459</v>
      </c>
      <c r="K25" s="231"/>
      <c r="L25" s="231"/>
      <c r="M25" s="232">
        <f t="shared" si="5"/>
        <v>17436075.847031742</v>
      </c>
    </row>
    <row r="26" spans="2:13">
      <c r="B26" s="131" t="s">
        <v>154</v>
      </c>
      <c r="C26" s="235">
        <f>C20*C24</f>
        <v>71.759999999999991</v>
      </c>
      <c r="D26" s="229" t="s">
        <v>101</v>
      </c>
      <c r="E26" s="133"/>
      <c r="F26" s="230">
        <v>16</v>
      </c>
      <c r="G26" s="232">
        <f t="shared" si="0"/>
        <v>2143825.4673854788</v>
      </c>
      <c r="H26" s="232">
        <f t="shared" si="1"/>
        <v>0</v>
      </c>
      <c r="I26" s="232">
        <f t="shared" si="2"/>
        <v>1640229.8887102366</v>
      </c>
      <c r="J26" s="232">
        <f t="shared" si="4"/>
        <v>21220131.203127459</v>
      </c>
      <c r="K26" s="231"/>
      <c r="L26" s="231"/>
      <c r="M26" s="232">
        <f t="shared" si="5"/>
        <v>17436075.847031742</v>
      </c>
    </row>
    <row r="27" spans="2:13">
      <c r="B27" s="131" t="s">
        <v>155</v>
      </c>
      <c r="C27" s="235">
        <f>C21*C25</f>
        <v>2808.2999999999997</v>
      </c>
      <c r="D27" s="229" t="s">
        <v>101</v>
      </c>
      <c r="E27" s="133"/>
      <c r="F27" s="230">
        <v>17</v>
      </c>
      <c r="G27" s="232">
        <f t="shared" si="0"/>
        <v>2143825.4673854788</v>
      </c>
      <c r="H27" s="232">
        <f t="shared" si="1"/>
        <v>0</v>
      </c>
      <c r="I27" s="232">
        <f t="shared" si="2"/>
        <v>1640229.8887102366</v>
      </c>
      <c r="J27" s="232">
        <f t="shared" si="4"/>
        <v>21220131.203127459</v>
      </c>
      <c r="K27" s="231"/>
      <c r="L27" s="231"/>
      <c r="M27" s="232">
        <f t="shared" si="5"/>
        <v>17436075.847031742</v>
      </c>
    </row>
    <row r="28" spans="2:13">
      <c r="B28" s="131" t="s">
        <v>222</v>
      </c>
      <c r="C28" s="234">
        <f>8931*0.44</f>
        <v>3929.64</v>
      </c>
      <c r="D28" s="229" t="s">
        <v>101</v>
      </c>
      <c r="E28" s="133"/>
      <c r="F28" s="230">
        <v>18</v>
      </c>
      <c r="G28" s="232">
        <f t="shared" si="0"/>
        <v>2143825.4673854788</v>
      </c>
      <c r="H28" s="232">
        <f t="shared" si="1"/>
        <v>0</v>
      </c>
      <c r="I28" s="232">
        <f t="shared" si="2"/>
        <v>1640229.8887102366</v>
      </c>
      <c r="J28" s="232">
        <f t="shared" si="4"/>
        <v>21220131.203127459</v>
      </c>
      <c r="K28" s="231"/>
      <c r="L28" s="231"/>
      <c r="M28" s="232">
        <f t="shared" si="5"/>
        <v>17436075.847031742</v>
      </c>
    </row>
    <row r="29" spans="2:13">
      <c r="B29" s="131" t="s">
        <v>223</v>
      </c>
      <c r="C29" s="234">
        <f>C28+C20*(1-C24)+(C21-C27)/C23</f>
        <v>4382.4466666666667</v>
      </c>
      <c r="D29" s="229" t="s">
        <v>101</v>
      </c>
      <c r="E29" s="133"/>
      <c r="F29" s="230">
        <v>19</v>
      </c>
      <c r="G29" s="232">
        <f t="shared" si="0"/>
        <v>2143825.4673854788</v>
      </c>
      <c r="H29" s="232">
        <f t="shared" si="1"/>
        <v>0</v>
      </c>
      <c r="I29" s="232">
        <f t="shared" si="2"/>
        <v>1640229.8887102366</v>
      </c>
      <c r="J29" s="232">
        <f t="shared" si="4"/>
        <v>21220131.203127459</v>
      </c>
      <c r="K29" s="231"/>
      <c r="L29" s="231"/>
      <c r="M29" s="232">
        <f t="shared" si="5"/>
        <v>17436075.847031742</v>
      </c>
    </row>
    <row r="30" spans="2:13">
      <c r="B30" s="131" t="s">
        <v>113</v>
      </c>
      <c r="C30" s="237">
        <f>'Energy prices'!$C$6/1000</f>
        <v>0.24</v>
      </c>
      <c r="D30" s="229" t="s">
        <v>114</v>
      </c>
      <c r="E30" s="133"/>
      <c r="F30" s="230">
        <v>20</v>
      </c>
      <c r="G30" s="232">
        <f t="shared" si="0"/>
        <v>2143825.4673854788</v>
      </c>
      <c r="H30" s="232">
        <f t="shared" si="1"/>
        <v>0</v>
      </c>
      <c r="I30" s="232">
        <f t="shared" si="2"/>
        <v>1640229.8887102366</v>
      </c>
      <c r="J30" s="232">
        <f t="shared" si="4"/>
        <v>21220131.203127459</v>
      </c>
      <c r="K30" s="231"/>
      <c r="L30" s="231"/>
      <c r="M30" s="232">
        <f t="shared" si="5"/>
        <v>17436075.847031742</v>
      </c>
    </row>
    <row r="31" spans="2:13">
      <c r="B31" s="131" t="s">
        <v>224</v>
      </c>
      <c r="C31" s="275">
        <v>0.5</v>
      </c>
      <c r="D31" s="229" t="s">
        <v>104</v>
      </c>
      <c r="E31" s="133"/>
      <c r="F31" s="230">
        <v>21</v>
      </c>
      <c r="G31" s="232">
        <f t="shared" si="0"/>
        <v>2143825.4673854788</v>
      </c>
      <c r="H31" s="232">
        <f t="shared" si="1"/>
        <v>0</v>
      </c>
      <c r="I31" s="232">
        <f t="shared" si="2"/>
        <v>1640229.8887102366</v>
      </c>
      <c r="J31" s="232">
        <f t="shared" si="4"/>
        <v>21220131.203127459</v>
      </c>
      <c r="K31" s="231"/>
      <c r="L31" s="231"/>
      <c r="M31" s="232">
        <f t="shared" si="5"/>
        <v>17436075.847031742</v>
      </c>
    </row>
    <row r="32" spans="2:13">
      <c r="B32" s="131" t="s">
        <v>225</v>
      </c>
      <c r="C32" s="110">
        <f>C30*C31</f>
        <v>0.12</v>
      </c>
      <c r="D32" s="229" t="s">
        <v>114</v>
      </c>
      <c r="E32" s="133"/>
      <c r="F32" s="230">
        <v>22</v>
      </c>
      <c r="G32" s="232">
        <f t="shared" si="0"/>
        <v>2143825.4673854788</v>
      </c>
      <c r="H32" s="232">
        <f t="shared" si="1"/>
        <v>0</v>
      </c>
      <c r="I32" s="232">
        <f t="shared" si="2"/>
        <v>1640229.8887102366</v>
      </c>
      <c r="J32" s="232">
        <f t="shared" si="4"/>
        <v>21220131.203127459</v>
      </c>
      <c r="K32" s="231"/>
      <c r="L32" s="231"/>
      <c r="M32" s="232">
        <f t="shared" si="5"/>
        <v>17436075.847031742</v>
      </c>
    </row>
    <row r="33" spans="2:13">
      <c r="B33" s="131" t="s">
        <v>115</v>
      </c>
      <c r="C33" s="107">
        <f>'Energy prices'!$C$8/1000</f>
        <v>0.114</v>
      </c>
      <c r="D33" s="229" t="s">
        <v>114</v>
      </c>
      <c r="E33" s="133"/>
      <c r="F33" s="230">
        <v>23</v>
      </c>
      <c r="G33" s="232">
        <f t="shared" si="0"/>
        <v>2143825.4673854788</v>
      </c>
      <c r="H33" s="232">
        <f t="shared" si="1"/>
        <v>0</v>
      </c>
      <c r="I33" s="232">
        <f t="shared" si="2"/>
        <v>1640229.8887102366</v>
      </c>
      <c r="J33" s="232">
        <f t="shared" si="4"/>
        <v>21220131.203127459</v>
      </c>
      <c r="K33" s="231"/>
      <c r="L33" s="231"/>
      <c r="M33" s="232">
        <f t="shared" si="5"/>
        <v>17436075.847031742</v>
      </c>
    </row>
    <row r="34" spans="2:13">
      <c r="B34" s="131" t="s">
        <v>118</v>
      </c>
      <c r="C34" s="238">
        <v>0</v>
      </c>
      <c r="D34" s="229" t="s">
        <v>86</v>
      </c>
      <c r="E34" s="133"/>
      <c r="F34" s="230">
        <v>24</v>
      </c>
      <c r="G34" s="232">
        <f t="shared" si="0"/>
        <v>2143825.4673854788</v>
      </c>
      <c r="H34" s="232">
        <f t="shared" si="1"/>
        <v>0</v>
      </c>
      <c r="I34" s="232">
        <f t="shared" si="2"/>
        <v>1640229.8887102366</v>
      </c>
      <c r="J34" s="232">
        <f t="shared" si="4"/>
        <v>21220131.203127459</v>
      </c>
      <c r="K34" s="231"/>
      <c r="L34" s="231"/>
      <c r="M34" s="232">
        <f t="shared" si="5"/>
        <v>17436075.847031742</v>
      </c>
    </row>
    <row r="35" spans="2:13">
      <c r="B35" s="131" t="s">
        <v>119</v>
      </c>
      <c r="C35" s="238">
        <v>100</v>
      </c>
      <c r="D35" s="229" t="s">
        <v>86</v>
      </c>
      <c r="E35" s="133"/>
      <c r="F35" s="230">
        <v>25</v>
      </c>
      <c r="G35" s="232">
        <f t="shared" si="0"/>
        <v>2143825.4673854788</v>
      </c>
      <c r="H35" s="232">
        <f t="shared" si="1"/>
        <v>0</v>
      </c>
      <c r="I35" s="232">
        <f t="shared" si="2"/>
        <v>1640229.8887102366</v>
      </c>
      <c r="J35" s="232">
        <f t="shared" si="4"/>
        <v>21220131.203127459</v>
      </c>
      <c r="K35" s="231"/>
      <c r="L35" s="232">
        <f>C9*C36</f>
        <v>68000000</v>
      </c>
      <c r="M35" s="232">
        <f t="shared" si="5"/>
        <v>85436075.847031742</v>
      </c>
    </row>
    <row r="36" spans="2:13">
      <c r="B36" s="131" t="s">
        <v>93</v>
      </c>
      <c r="C36" s="239">
        <v>0.1</v>
      </c>
      <c r="D36" s="229" t="s">
        <v>120</v>
      </c>
      <c r="E36" s="133"/>
      <c r="F36" s="134" t="s">
        <v>116</v>
      </c>
      <c r="G36" s="98">
        <f t="shared" ref="G36:M36" si="6">NPV($C$37,G11:G35)+G10</f>
        <v>37330749.487906456</v>
      </c>
      <c r="H36" s="98">
        <f t="shared" si="6"/>
        <v>0</v>
      </c>
      <c r="I36" s="98">
        <f t="shared" si="6"/>
        <v>28561565.299759854</v>
      </c>
      <c r="J36" s="98">
        <f t="shared" si="6"/>
        <v>368212132.58346111</v>
      </c>
      <c r="K36" s="98">
        <f t="shared" si="6"/>
        <v>637123490.65229046</v>
      </c>
      <c r="L36" s="98">
        <f t="shared" si="6"/>
        <v>66019417.475728154</v>
      </c>
      <c r="M36" s="98">
        <f t="shared" si="6"/>
        <v>-302326494.14670295</v>
      </c>
    </row>
    <row r="37" spans="2:13">
      <c r="B37" s="131" t="s">
        <v>121</v>
      </c>
      <c r="C37" s="239">
        <v>0.03</v>
      </c>
      <c r="D37" s="229" t="s">
        <v>104</v>
      </c>
      <c r="E37" s="133"/>
      <c r="F37" s="133"/>
      <c r="G37" s="133"/>
      <c r="H37" s="133"/>
      <c r="I37" s="133"/>
      <c r="J37" s="133"/>
      <c r="K37" s="133"/>
      <c r="L37" s="133"/>
      <c r="M37" s="133"/>
    </row>
    <row r="38" spans="2:13">
      <c r="B38" s="131" t="s">
        <v>226</v>
      </c>
      <c r="C38" s="243">
        <f>C26+C27+(C28-C29)</f>
        <v>2427.2533333333326</v>
      </c>
      <c r="D38" s="229" t="s">
        <v>101</v>
      </c>
      <c r="E38" s="133"/>
      <c r="F38" s="164"/>
      <c r="G38" s="165"/>
      <c r="H38" s="165"/>
      <c r="I38" s="165"/>
      <c r="J38" s="165"/>
      <c r="K38" s="165"/>
      <c r="L38" s="165"/>
      <c r="M38" s="165"/>
    </row>
    <row r="39" spans="2:13">
      <c r="B39" s="131" t="s">
        <v>227</v>
      </c>
      <c r="C39" s="245">
        <f>'Sc0-CBA'!C16</f>
        <v>0.95</v>
      </c>
      <c r="D39" s="229" t="s">
        <v>104</v>
      </c>
      <c r="E39" s="133"/>
      <c r="F39" s="164"/>
      <c r="G39" s="165"/>
      <c r="H39" s="165"/>
      <c r="I39" s="165"/>
      <c r="J39" s="165"/>
      <c r="K39" s="165"/>
      <c r="L39" s="165"/>
      <c r="M39" s="165"/>
    </row>
    <row r="40" spans="2:13">
      <c r="B40" s="103" t="str">
        <f>'Sc0-CBA'!B19</f>
        <v>Degree of efficiency of petroleum boiler</v>
      </c>
      <c r="C40" s="245">
        <f>'Sc0-CBA'!C19</f>
        <v>0.8</v>
      </c>
      <c r="D40" s="229" t="s">
        <v>104</v>
      </c>
      <c r="E40" s="133"/>
      <c r="F40" s="164"/>
      <c r="G40" s="165"/>
      <c r="H40" s="165"/>
      <c r="I40" s="165"/>
      <c r="J40" s="165"/>
      <c r="K40" s="165"/>
      <c r="L40" s="165"/>
      <c r="M40" s="165"/>
    </row>
    <row r="41" spans="2:13">
      <c r="B41" s="131" t="s">
        <v>108</v>
      </c>
      <c r="C41" s="245">
        <f>'Sc0-CBA'!C20</f>
        <v>0.3</v>
      </c>
      <c r="D41" s="229" t="s">
        <v>104</v>
      </c>
      <c r="E41" s="133"/>
      <c r="F41" s="164"/>
      <c r="G41" s="165"/>
      <c r="H41" s="104" t="str">
        <f>'Sc0-CBA'!G32</f>
        <v>Fuel share per households in the region</v>
      </c>
      <c r="I41" s="242"/>
      <c r="J41" s="133"/>
      <c r="K41" s="165"/>
      <c r="L41" s="165"/>
      <c r="M41" s="165"/>
    </row>
    <row r="42" spans="2:13">
      <c r="B42" s="103" t="str">
        <f>'Sc0-CBA'!B21</f>
        <v>Degree of efficiency of electric boiler</v>
      </c>
      <c r="C42" s="245">
        <f>'Sc0-CBA'!C21</f>
        <v>1</v>
      </c>
      <c r="D42" s="229" t="s">
        <v>104</v>
      </c>
      <c r="E42" s="133"/>
      <c r="F42" s="164"/>
      <c r="G42" s="165"/>
      <c r="H42" s="160"/>
      <c r="I42" s="242"/>
      <c r="J42" s="133"/>
      <c r="K42" s="165"/>
      <c r="L42" s="165"/>
      <c r="M42" s="165"/>
    </row>
    <row r="43" spans="2:13">
      <c r="B43" s="103" t="str">
        <f>'Sc0-CBA'!B27</f>
        <v>Petroleum price</v>
      </c>
      <c r="C43" s="243">
        <f>'Energy prices'!C7/1000</f>
        <v>0.11</v>
      </c>
      <c r="D43" s="229" t="s">
        <v>114</v>
      </c>
      <c r="E43" s="133"/>
      <c r="F43" s="164"/>
      <c r="G43" s="165"/>
      <c r="H43" s="244" t="str">
        <f>'Sc0-CBA'!G33</f>
        <v>Natural gas</v>
      </c>
      <c r="I43" s="247">
        <f>'Sc0-CBA'!H33</f>
        <v>0.48</v>
      </c>
      <c r="J43" s="133"/>
      <c r="K43" s="165"/>
      <c r="L43" s="165"/>
      <c r="M43" s="165"/>
    </row>
    <row r="44" spans="2:13">
      <c r="B44" s="131" t="s">
        <v>122</v>
      </c>
      <c r="C44" s="243">
        <f>'Energy prices'!C10/1000</f>
        <v>1.7000000000000001E-2</v>
      </c>
      <c r="D44" s="229" t="s">
        <v>114</v>
      </c>
      <c r="E44" s="133"/>
      <c r="F44" s="164"/>
      <c r="G44" s="165"/>
      <c r="H44" s="244" t="str">
        <f>'Sc0-CBA'!G34</f>
        <v>Petroleum derivatives</v>
      </c>
      <c r="I44" s="247">
        <f>'Sc0-CBA'!H34</f>
        <v>0.2</v>
      </c>
      <c r="J44" s="133"/>
      <c r="K44" s="165"/>
      <c r="L44" s="165"/>
      <c r="M44" s="165"/>
    </row>
    <row r="45" spans="2:13">
      <c r="B45" s="103" t="str">
        <f>'Sc0-CBA'!B26</f>
        <v>Natural gas price</v>
      </c>
      <c r="C45" s="243">
        <f>'Sc0-CBA'!C26</f>
        <v>0.114</v>
      </c>
      <c r="D45" s="229" t="s">
        <v>114</v>
      </c>
      <c r="E45" s="133"/>
      <c r="F45" s="164"/>
      <c r="G45" s="165"/>
      <c r="H45" s="246" t="s">
        <v>128</v>
      </c>
      <c r="I45" s="247">
        <f>'Sc0-CBA'!H35</f>
        <v>0.19</v>
      </c>
      <c r="J45" s="133"/>
      <c r="K45" s="165"/>
      <c r="L45" s="165"/>
      <c r="M45" s="165"/>
    </row>
    <row r="46" spans="2:13">
      <c r="B46" s="133"/>
      <c r="C46" s="249"/>
      <c r="D46" s="133"/>
      <c r="E46" s="133"/>
      <c r="F46" s="133"/>
      <c r="G46" s="133"/>
      <c r="H46" s="246" t="s">
        <v>78</v>
      </c>
      <c r="I46" s="247">
        <f>'Sc0-CBA'!H36</f>
        <v>0</v>
      </c>
      <c r="J46" s="133"/>
      <c r="K46" s="133"/>
      <c r="L46" s="133"/>
      <c r="M46" s="133"/>
    </row>
    <row r="47" spans="2:13">
      <c r="B47" s="133"/>
      <c r="C47" s="249"/>
      <c r="D47" s="133"/>
      <c r="E47" s="133"/>
      <c r="F47" s="133"/>
      <c r="G47" s="133"/>
      <c r="H47" s="246" t="s">
        <v>81</v>
      </c>
      <c r="I47" s="247">
        <f>'Sc0-CBA'!H37</f>
        <v>0.12</v>
      </c>
      <c r="J47" s="133"/>
      <c r="K47" s="133"/>
      <c r="L47" s="133"/>
      <c r="M47" s="133"/>
    </row>
    <row r="48" spans="2:13">
      <c r="B48" s="135" t="s">
        <v>133</v>
      </c>
      <c r="C48" s="100">
        <f>NPV(C37,M11:M35)+M10</f>
        <v>-302326494.14670295</v>
      </c>
      <c r="D48" s="133"/>
      <c r="E48" s="133"/>
      <c r="F48" s="133"/>
      <c r="G48" s="133"/>
      <c r="H48" s="246" t="s">
        <v>116</v>
      </c>
      <c r="I48" s="247">
        <f>SUM(I43:I47)</f>
        <v>0.98999999999999988</v>
      </c>
      <c r="J48" s="133"/>
      <c r="K48" s="133"/>
      <c r="L48" s="133"/>
      <c r="M48" s="133"/>
    </row>
    <row r="49" spans="2:8">
      <c r="B49" s="135" t="s">
        <v>134</v>
      </c>
      <c r="C49" s="101">
        <f>IRR(M10:M35)</f>
        <v>-1.5561794149044905E-2</v>
      </c>
      <c r="D49" s="133"/>
      <c r="E49" s="133"/>
      <c r="F49" s="133"/>
      <c r="G49" s="133"/>
      <c r="H49" s="133"/>
    </row>
    <row r="50" spans="2:8">
      <c r="B50" s="135" t="s">
        <v>135</v>
      </c>
      <c r="C50" s="102">
        <f>(H36+J36+L36)/(G36+I36+K36)</f>
        <v>0.61766968352502583</v>
      </c>
      <c r="D50" s="133"/>
      <c r="E50" s="133"/>
      <c r="F50" s="133"/>
      <c r="G50" s="133"/>
      <c r="H50" s="133"/>
    </row>
    <row r="52" spans="2:8">
      <c r="B52" s="131" t="s">
        <v>136</v>
      </c>
      <c r="C52" s="239">
        <v>0</v>
      </c>
      <c r="D52" s="229" t="s">
        <v>104</v>
      </c>
      <c r="E52" s="133"/>
      <c r="F52" s="133"/>
      <c r="G52" s="133"/>
      <c r="H52" s="133"/>
    </row>
    <row r="53" spans="2:8">
      <c r="B53" s="133"/>
      <c r="C53" s="133"/>
      <c r="D53" s="133"/>
      <c r="E53" s="133"/>
      <c r="F53" s="133"/>
      <c r="G53" s="133"/>
      <c r="H53" s="133" t="s">
        <v>228</v>
      </c>
    </row>
    <row r="54" spans="2:8">
      <c r="B54" s="152" t="s">
        <v>192</v>
      </c>
      <c r="C54" s="245">
        <f>'Sc0-SCBA'!C83</f>
        <v>0.21</v>
      </c>
      <c r="D54" s="133"/>
      <c r="E54" s="133"/>
      <c r="F54" s="133"/>
      <c r="G54" s="133"/>
      <c r="H54" s="133" t="s">
        <v>229</v>
      </c>
    </row>
    <row r="55" spans="2:8">
      <c r="B55" s="133"/>
      <c r="C55" s="133"/>
      <c r="D55" s="133"/>
      <c r="E55" s="133"/>
      <c r="F55" s="133"/>
      <c r="G55" s="133"/>
      <c r="H55" s="133"/>
    </row>
    <row r="56" spans="2:8" hidden="1">
      <c r="B56" s="137" t="s">
        <v>137</v>
      </c>
      <c r="C56" s="133">
        <v>1</v>
      </c>
      <c r="D56" s="133" t="s">
        <v>138</v>
      </c>
      <c r="E56" s="133"/>
      <c r="F56" s="133"/>
      <c r="G56" s="133"/>
      <c r="H56" s="133"/>
    </row>
    <row r="57" spans="2:8" hidden="1">
      <c r="B57" s="133" t="s">
        <v>139</v>
      </c>
      <c r="C57" s="250">
        <f>IF(C56=1,C33*(1+D57),C33)</f>
        <v>0.11468400000000001</v>
      </c>
      <c r="D57" s="251">
        <v>6.0000000000000001E-3</v>
      </c>
      <c r="E57" s="133"/>
      <c r="F57" s="133"/>
      <c r="G57" s="133"/>
      <c r="H57" s="133"/>
    </row>
    <row r="58" spans="2:8" hidden="1">
      <c r="B58" s="133" t="s">
        <v>140</v>
      </c>
      <c r="C58" s="250">
        <f>IF(C56=1,(C57+D58),C33)</f>
        <v>0.11868400000000001</v>
      </c>
      <c r="D58" s="251">
        <v>4.0000000000000001E-3</v>
      </c>
      <c r="E58" s="133"/>
      <c r="F58" s="133"/>
      <c r="G58" s="133"/>
      <c r="H58" s="133"/>
    </row>
    <row r="59" spans="2:8" hidden="1">
      <c r="B59" s="133" t="s">
        <v>141</v>
      </c>
      <c r="C59" s="250">
        <f>IF(C56=1,(C58+D59),C33)</f>
        <v>0.11968400000000001</v>
      </c>
      <c r="D59" s="251">
        <v>1E-3</v>
      </c>
      <c r="E59" s="133"/>
      <c r="F59" s="133"/>
      <c r="G59" s="133"/>
      <c r="H59" s="133"/>
    </row>
    <row r="60" spans="2:8" hidden="1">
      <c r="B60" s="133" t="s">
        <v>142</v>
      </c>
      <c r="C60" s="250">
        <f>IF(C56=1,(C59+D60),C33)</f>
        <v>0.12068400000000001</v>
      </c>
      <c r="D60" s="251">
        <v>1E-3</v>
      </c>
      <c r="E60" s="133"/>
      <c r="F60" s="133"/>
      <c r="G60" s="133"/>
      <c r="H60" s="133"/>
    </row>
    <row r="61" spans="2:8" hidden="1">
      <c r="B61" s="233" t="str">
        <f>'Sc0-CBA'!B54</f>
        <v>Petroleum price ETS 2 Year 3</v>
      </c>
      <c r="C61" s="253">
        <f>IF(C56=1,C43*(1+D61),C43)</f>
        <v>0.11088000000000001</v>
      </c>
      <c r="D61" s="251">
        <v>8.0000000000000002E-3</v>
      </c>
      <c r="E61" s="133"/>
      <c r="F61" s="133"/>
      <c r="G61" s="133"/>
      <c r="H61" s="133"/>
    </row>
    <row r="62" spans="2:8" hidden="1">
      <c r="B62" s="233" t="str">
        <f>'Sc0-CBA'!B55</f>
        <v>Petroleum price ETS 2 Year 4</v>
      </c>
      <c r="C62" s="253">
        <f>IF($C$56=1,C61+D62,$C$43)</f>
        <v>0.11588000000000001</v>
      </c>
      <c r="D62" s="251">
        <v>5.0000000000000001E-3</v>
      </c>
      <c r="E62" s="133"/>
      <c r="F62" s="133"/>
      <c r="G62" s="133"/>
      <c r="H62" s="133"/>
    </row>
    <row r="63" spans="2:8" hidden="1">
      <c r="B63" s="233" t="str">
        <f>'Sc0-CBA'!B56</f>
        <v>Petroleum price ETS 2 Year 5</v>
      </c>
      <c r="C63" s="253">
        <f>IF($C$56=1,C62+D63,$C$43)</f>
        <v>0.11688000000000001</v>
      </c>
      <c r="D63" s="251">
        <v>1E-3</v>
      </c>
      <c r="E63" s="133"/>
      <c r="F63" s="133"/>
      <c r="G63" s="133"/>
      <c r="H63" s="133"/>
    </row>
    <row r="64" spans="2:8" hidden="1">
      <c r="B64" s="233" t="str">
        <f>'Sc0-CBA'!B57</f>
        <v>Petroleum price ETS 2 Year 6</v>
      </c>
      <c r="C64" s="253">
        <f>IF($C$56=1,C63+D64,$C$43)</f>
        <v>0.11788000000000001</v>
      </c>
      <c r="D64" s="251">
        <v>1E-3</v>
      </c>
      <c r="E64" s="133"/>
      <c r="F64" s="133"/>
      <c r="G64" s="133"/>
      <c r="H64" s="133"/>
    </row>
  </sheetData>
  <sheetProtection algorithmName="SHA-512" hashValue="4RYXbtqtCijSERp5BjUEllwA0RYNyX66OpuDVVMm538V87M2/VSFFXemb/B5+pA/Vb9S7rzYjvMzzOIdSVSbXQ==" saltValue="LJQqxmltEoUdlaE/ykaZig==" spinCount="100000" sheet="1" objects="1" scenarios="1" selectLockedCells="1"/>
  <mergeCells count="2">
    <mergeCell ref="C1:N3"/>
    <mergeCell ref="B4:D4"/>
  </mergeCells>
  <pageMargins left="0.7" right="0.7" top="0.75" bottom="0.75" header="0.3" footer="0.3"/>
  <pageSetup orientation="portrait" horizontalDpi="4294967293" verticalDpi="4294967293"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D6D1B-4839-464F-8BB1-1ED96696555D}">
  <sheetPr>
    <tabColor theme="7" tint="-0.499984740745262"/>
  </sheetPr>
  <dimension ref="A1:P64"/>
  <sheetViews>
    <sheetView zoomScale="50" zoomScaleNormal="50" workbookViewId="0">
      <selection activeCell="C9" sqref="C9"/>
    </sheetView>
  </sheetViews>
  <sheetFormatPr defaultColWidth="0" defaultRowHeight="14.1"/>
  <cols>
    <col min="1" max="1" width="3.5703125" style="121" customWidth="1"/>
    <col min="2" max="2" width="58" style="121" customWidth="1"/>
    <col min="3" max="3" width="20.5703125" style="136" customWidth="1"/>
    <col min="4" max="4" width="20.140625" style="121" bestFit="1" customWidth="1"/>
    <col min="5" max="6" width="8.85546875" style="121" customWidth="1"/>
    <col min="7" max="7" width="14.5703125" style="121" bestFit="1" customWidth="1"/>
    <col min="8" max="8" width="13.42578125" style="121" bestFit="1" customWidth="1"/>
    <col min="9" max="9" width="18.140625" style="121" bestFit="1" customWidth="1"/>
    <col min="10" max="10" width="17" style="121" bestFit="1" customWidth="1"/>
    <col min="11" max="11" width="18.42578125" style="121" bestFit="1" customWidth="1"/>
    <col min="12" max="12" width="18.5703125" style="121" bestFit="1" customWidth="1"/>
    <col min="13" max="13" width="20" style="121" bestFit="1" customWidth="1"/>
    <col min="14" max="14" width="8.85546875" style="121" customWidth="1"/>
    <col min="15" max="16384" width="8.85546875" style="121" hidden="1"/>
  </cols>
  <sheetData>
    <row r="1" spans="1:16" ht="14.1" customHeight="1">
      <c r="A1" s="133"/>
      <c r="B1" s="133"/>
      <c r="C1" s="218" t="s">
        <v>230</v>
      </c>
      <c r="D1" s="218"/>
      <c r="E1" s="218"/>
      <c r="F1" s="218"/>
      <c r="G1" s="218"/>
      <c r="H1" s="218"/>
      <c r="I1" s="218"/>
      <c r="J1" s="218"/>
      <c r="K1" s="218"/>
      <c r="L1" s="218"/>
      <c r="M1" s="218"/>
      <c r="N1" s="218"/>
      <c r="O1" s="133"/>
      <c r="P1" s="133"/>
    </row>
    <row r="2" spans="1:16" ht="14.1" customHeight="1">
      <c r="A2" s="133"/>
      <c r="B2" s="133"/>
      <c r="C2" s="218"/>
      <c r="D2" s="218"/>
      <c r="E2" s="218"/>
      <c r="F2" s="218"/>
      <c r="G2" s="218"/>
      <c r="H2" s="218"/>
      <c r="I2" s="218"/>
      <c r="J2" s="218"/>
      <c r="K2" s="218"/>
      <c r="L2" s="218"/>
      <c r="M2" s="218"/>
      <c r="N2" s="218"/>
      <c r="O2" s="133"/>
      <c r="P2" s="133"/>
    </row>
    <row r="3" spans="1:16" ht="14.1" customHeight="1">
      <c r="A3" s="133"/>
      <c r="B3" s="133"/>
      <c r="C3" s="218"/>
      <c r="D3" s="218"/>
      <c r="E3" s="218"/>
      <c r="F3" s="218"/>
      <c r="G3" s="218"/>
      <c r="H3" s="218"/>
      <c r="I3" s="218"/>
      <c r="J3" s="218"/>
      <c r="K3" s="218"/>
      <c r="L3" s="218"/>
      <c r="M3" s="218"/>
      <c r="N3" s="218"/>
      <c r="O3" s="133"/>
      <c r="P3" s="133"/>
    </row>
    <row r="4" spans="1:16" ht="14.45">
      <c r="A4" s="60"/>
      <c r="B4" s="214"/>
      <c r="C4" s="226"/>
      <c r="D4" s="226"/>
      <c r="E4" s="61"/>
      <c r="F4" s="62"/>
      <c r="G4" s="60"/>
      <c r="H4" s="63"/>
      <c r="I4" s="63"/>
      <c r="J4" s="61"/>
      <c r="K4" s="64"/>
      <c r="L4" s="64"/>
      <c r="M4" s="133"/>
      <c r="N4" s="133"/>
      <c r="O4" s="133"/>
      <c r="P4" s="133"/>
    </row>
    <row r="5" spans="1:16" ht="14.45">
      <c r="A5" s="122"/>
      <c r="B5" s="123"/>
      <c r="C5" s="124"/>
      <c r="D5" s="124"/>
      <c r="E5" s="125"/>
      <c r="F5" s="126"/>
      <c r="G5" s="122"/>
      <c r="H5" s="123"/>
      <c r="I5" s="123"/>
      <c r="J5" s="125"/>
      <c r="K5" s="126"/>
      <c r="L5" s="126"/>
      <c r="M5" s="133"/>
      <c r="N5" s="133"/>
      <c r="O5" s="133"/>
      <c r="P5" s="133"/>
    </row>
    <row r="6" spans="1:16" ht="15">
      <c r="A6" s="227"/>
      <c r="B6" s="127" t="s">
        <v>83</v>
      </c>
      <c r="C6" s="128" t="s">
        <v>84</v>
      </c>
      <c r="D6" s="128"/>
      <c r="E6" s="128"/>
      <c r="F6" s="128"/>
      <c r="G6" s="128"/>
      <c r="H6" s="129"/>
      <c r="I6" s="129"/>
      <c r="J6" s="129"/>
      <c r="K6" s="130"/>
      <c r="L6" s="228"/>
      <c r="M6" s="227"/>
      <c r="N6" s="227"/>
      <c r="O6" s="227"/>
      <c r="P6" s="227"/>
    </row>
    <row r="7" spans="1:16" ht="15">
      <c r="A7" s="227"/>
      <c r="B7" s="127"/>
      <c r="C7" s="128"/>
      <c r="D7" s="128"/>
      <c r="E7" s="128"/>
      <c r="F7" s="128"/>
      <c r="G7" s="128"/>
      <c r="H7" s="129"/>
      <c r="I7" s="129"/>
      <c r="J7" s="129"/>
      <c r="K7" s="130"/>
      <c r="L7" s="228"/>
      <c r="M7" s="227"/>
      <c r="N7" s="227"/>
      <c r="O7" s="227"/>
      <c r="P7" s="227"/>
    </row>
    <row r="9" spans="1:16">
      <c r="A9" s="133"/>
      <c r="B9" s="131" t="s">
        <v>85</v>
      </c>
      <c r="C9" s="254">
        <f>'Sc0-CBA'!C9</f>
        <v>680000000</v>
      </c>
      <c r="D9" s="229" t="s">
        <v>86</v>
      </c>
      <c r="E9" s="133"/>
      <c r="F9" s="132" t="s">
        <v>87</v>
      </c>
      <c r="G9" s="132" t="s">
        <v>207</v>
      </c>
      <c r="H9" s="132" t="s">
        <v>208</v>
      </c>
      <c r="I9" s="132" t="s">
        <v>90</v>
      </c>
      <c r="J9" s="132" t="s">
        <v>91</v>
      </c>
      <c r="K9" s="132" t="s">
        <v>92</v>
      </c>
      <c r="L9" s="132" t="s">
        <v>93</v>
      </c>
      <c r="M9" s="132" t="s">
        <v>94</v>
      </c>
      <c r="N9" s="133"/>
      <c r="O9" s="133"/>
      <c r="P9" s="133"/>
    </row>
    <row r="10" spans="1:16">
      <c r="A10" s="133"/>
      <c r="B10" s="131" t="s">
        <v>209</v>
      </c>
      <c r="C10" s="234">
        <f>'Sc2-CBA'!C12</f>
        <v>2000</v>
      </c>
      <c r="D10" s="229" t="s">
        <v>86</v>
      </c>
      <c r="E10" s="133"/>
      <c r="F10" s="230">
        <v>0</v>
      </c>
      <c r="G10" s="231"/>
      <c r="H10" s="231"/>
      <c r="I10" s="231"/>
      <c r="J10" s="231"/>
      <c r="K10" s="232">
        <f>C9-C10*C19</f>
        <v>630936180.95890903</v>
      </c>
      <c r="L10" s="231"/>
      <c r="M10" s="232">
        <f>(H10+J10+L10)-(G10+I10+K10)</f>
        <v>-630936180.95890903</v>
      </c>
      <c r="N10" s="133"/>
      <c r="O10" s="133"/>
      <c r="P10" s="133"/>
    </row>
    <row r="11" spans="1:16">
      <c r="A11" s="133"/>
      <c r="B11" s="131" t="s">
        <v>210</v>
      </c>
      <c r="C11" s="234">
        <f>'Sc1 Medium-CBA'!C10</f>
        <v>13000</v>
      </c>
      <c r="D11" s="229" t="s">
        <v>86</v>
      </c>
      <c r="E11" s="133"/>
      <c r="F11" s="230">
        <v>1</v>
      </c>
      <c r="G11" s="232">
        <f t="shared" ref="G11:G35" si="0">$C$35*$C$19</f>
        <v>2453190.9520545476</v>
      </c>
      <c r="H11" s="232">
        <f t="shared" ref="H11:H35" si="1">$C$34</f>
        <v>0</v>
      </c>
      <c r="I11" s="232">
        <f>(($C$21*$C$22*(1-$C$25))/$C$23*$C$30*$C$19*$I$43)+(($C$21*$C$40*(1-$C$25))/$C$23*$C$30*$C$19*$I$44)+(($C$21*$C$42*(1-$C$25))/$C$23*$C$30*$C$19*$I$45)+(($C$21*$C$41*(1-$C$25))/$C$23*$C$30*$C$19*$I$46)</f>
        <v>2664020.9300479814</v>
      </c>
      <c r="J11" s="232">
        <f>($C$26*$C$30+$C$21*$C$33+$C$29*($C$30-$C$32))*$C$19*$I$43+($C$26*$C$30+$C$21*$C$43+$C$29*($C$30-$C$32))*$C$19*$I$44+($C$26*$C$30+$C$21*$C$30+$C$29*($C$30-$C$32))*$C$19*$I$45+($C$26*$C$30+$C$21*$C$44+$C$29*($C$30-$C$32))*$C$19*$I$46</f>
        <v>24221691.553086333</v>
      </c>
      <c r="K11" s="231"/>
      <c r="L11" s="231"/>
      <c r="M11" s="232">
        <f>(H11+J11+L11)-(G11+I11+K11)</f>
        <v>19104479.670983806</v>
      </c>
      <c r="N11" s="133"/>
      <c r="O11" s="133"/>
      <c r="P11" s="133"/>
    </row>
    <row r="12" spans="1:16">
      <c r="A12" s="133"/>
      <c r="B12" s="131" t="s">
        <v>211</v>
      </c>
      <c r="C12" s="234">
        <f>'Sc2-CBA'!C10</f>
        <v>10000</v>
      </c>
      <c r="D12" s="229" t="s">
        <v>86</v>
      </c>
      <c r="E12" s="133"/>
      <c r="F12" s="230">
        <v>2</v>
      </c>
      <c r="G12" s="232">
        <f t="shared" si="0"/>
        <v>2453190.9520545476</v>
      </c>
      <c r="H12" s="232">
        <f t="shared" si="1"/>
        <v>0</v>
      </c>
      <c r="I12" s="232">
        <f t="shared" ref="I12:I35" si="2">(($C$21*$C$22*(1-$C$25))/$C$23*$C$30*$C$19*$I$43)+(($C$21*$C$40*(1-$C$25))/$C$23*$C$30*$C$19*$I$44)+(($C$21*$C$42*(1-$C$25))/$C$23*$C$30*$C$19*$I$45)+(($C$21*$C$41*(1-$C$25))/$C$23*$C$30*$C$19*$I$46)</f>
        <v>2664020.9300479814</v>
      </c>
      <c r="J12" s="232">
        <f t="shared" ref="J12" si="3">($C$26*$C$30+$C$21*$C$33+$C$29*($C$30-$C$32))*$C$19*$I$43+($C$26*$C$30+$C$21*$C$43+$C$29*($C$30-$C$32))*$C$19*$I$44+($C$26*$C$30+$C$21*$C$30+$C$29*($C$30-$C$32))*$C$19*$I$45+($C$26*$C$30+$C$21*$C$44+$C$29*($C$30-$C$32))*$C$19*$I$46</f>
        <v>24221691.553086333</v>
      </c>
      <c r="K12" s="231"/>
      <c r="L12" s="231"/>
      <c r="M12" s="232">
        <f t="shared" ref="M12:M17" si="4">(H12+J12+L12)-(G12+I12+K12)</f>
        <v>19104479.670983806</v>
      </c>
      <c r="N12" s="133"/>
      <c r="O12" s="133"/>
      <c r="P12" s="133"/>
    </row>
    <row r="13" spans="1:16">
      <c r="A13" s="133"/>
      <c r="B13" s="131" t="s">
        <v>212</v>
      </c>
      <c r="C13" s="234">
        <f>C15*(C17+C18)</f>
        <v>5469</v>
      </c>
      <c r="D13" s="229" t="s">
        <v>86</v>
      </c>
      <c r="E13" s="133"/>
      <c r="F13" s="230">
        <v>3</v>
      </c>
      <c r="G13" s="232">
        <f t="shared" si="0"/>
        <v>2453190.9520545476</v>
      </c>
      <c r="H13" s="232">
        <f t="shared" si="1"/>
        <v>0</v>
      </c>
      <c r="I13" s="232">
        <f t="shared" si="2"/>
        <v>2664020.9300479814</v>
      </c>
      <c r="J13" s="232">
        <f>($C$26*$C$30+$C$21*C57+$C$29*($C$30-$C$32))*$C$19*$I$43+($C$26*$C$30+$C$21*C61+$C$29*($C$30-$C$32))*$C$19*$I$44+($C$26*$C$30+$C$21*$C$30+$C$29*($C$30-$C$32))*$C$19*$I$45+($C$26*$C$30+$C$21*$C$44+$C$29*($C$30-$C$32))*$C$19*$I$46</f>
        <v>24272045.318806596</v>
      </c>
      <c r="K13" s="231"/>
      <c r="L13" s="231"/>
      <c r="M13" s="232">
        <f t="shared" si="4"/>
        <v>19154833.436704069</v>
      </c>
      <c r="N13" s="133"/>
      <c r="O13" s="133"/>
      <c r="P13" s="133"/>
    </row>
    <row r="14" spans="1:16">
      <c r="A14" s="133"/>
      <c r="B14" s="131" t="s">
        <v>96</v>
      </c>
      <c r="C14" s="234">
        <f>(C11+C12+C13-C18*C15)*(1-C52)</f>
        <v>27719</v>
      </c>
      <c r="D14" s="229" t="s">
        <v>86</v>
      </c>
      <c r="E14" s="133"/>
      <c r="F14" s="230">
        <v>4</v>
      </c>
      <c r="G14" s="232">
        <f t="shared" si="0"/>
        <v>2453190.9520545476</v>
      </c>
      <c r="H14" s="232">
        <f t="shared" si="1"/>
        <v>0</v>
      </c>
      <c r="I14" s="232">
        <f t="shared" si="2"/>
        <v>2664020.9300479814</v>
      </c>
      <c r="J14" s="232">
        <f>($C$26*$C$30+$C$21*C58+$C$29*($C$30-$C$32))*$C$19*$I$43+($C$26*$C$30+$C$21*C62+$C$29*($C$30-$C$32))*$C$19*$I$44+($C$26*$C$30+$C$21*$C$30+$C$29*($C$30-$C$32))*$C$19*$I$45+($C$26*$C$30+$C$21*$C$44+$C$29*($C$30-$C$32))*$C$19*$I$46</f>
        <v>24563592.344312567</v>
      </c>
      <c r="K14" s="231"/>
      <c r="L14" s="231"/>
      <c r="M14" s="232">
        <f t="shared" si="4"/>
        <v>19446380.462210037</v>
      </c>
      <c r="N14" s="133"/>
      <c r="O14" s="133"/>
      <c r="P14" s="133"/>
    </row>
    <row r="15" spans="1:16">
      <c r="A15" s="133"/>
      <c r="B15" s="131" t="s">
        <v>213</v>
      </c>
      <c r="C15" s="234">
        <f>'Sc3 Deep-CBA'!C15</f>
        <v>3</v>
      </c>
      <c r="D15" s="229" t="s">
        <v>214</v>
      </c>
      <c r="E15" s="133"/>
      <c r="F15" s="230">
        <v>5</v>
      </c>
      <c r="G15" s="232">
        <f t="shared" si="0"/>
        <v>2453190.9520545476</v>
      </c>
      <c r="H15" s="232">
        <f t="shared" si="1"/>
        <v>0</v>
      </c>
      <c r="I15" s="232">
        <f t="shared" si="2"/>
        <v>2664020.9300479814</v>
      </c>
      <c r="J15" s="232">
        <f>($C$26*$C$30+$C$21*C59+$C$29*($C$30-$C$32))*$C$19*$I$43+($C$26*$C$30+$C$21*C63+$C$29*($C$30-$C$32))*$C$19*$I$44+($C$26*$C$30+$C$21*$C$30+$C$29*($C$30-$C$32))*$C$19*$I$45+($C$26*$C$30+$C$21*$C$44+$C$29*($C$30-$C$32))*$C$19*$I$46</f>
        <v>24631486.857101627</v>
      </c>
      <c r="K15" s="231"/>
      <c r="L15" s="231"/>
      <c r="M15" s="232">
        <f t="shared" si="4"/>
        <v>19514274.9749991</v>
      </c>
      <c r="N15" s="133"/>
      <c r="O15" s="133"/>
      <c r="P15" s="133"/>
    </row>
    <row r="16" spans="1:16">
      <c r="A16" s="133"/>
      <c r="B16" s="131" t="s">
        <v>215</v>
      </c>
      <c r="C16" s="105">
        <f>'Sc3 Deep-CBA'!C16</f>
        <v>1300</v>
      </c>
      <c r="D16" s="229" t="s">
        <v>216</v>
      </c>
      <c r="E16" s="133"/>
      <c r="F16" s="230">
        <v>6</v>
      </c>
      <c r="G16" s="232">
        <f t="shared" si="0"/>
        <v>2453190.9520545476</v>
      </c>
      <c r="H16" s="232">
        <f t="shared" si="1"/>
        <v>0</v>
      </c>
      <c r="I16" s="232">
        <f t="shared" si="2"/>
        <v>2664020.9300479814</v>
      </c>
      <c r="J16" s="232">
        <f t="shared" ref="J16:J35" si="5">($C$26*$C$30+$C$21*$C$60+$C$29*($C$30-$C$32))*$C$19*$I$43+($C$26*$C$30+$C$21*$C$64+$C$29*($C$30-$C$32))*$C$19*$I$44+($C$26*$C$30+$C$21*$C$30+$C$29*($C$30-$C$32))*$C$19*$I$45+($C$26*$C$30+$C$21*$C$44+$C$29*($C$30-$C$32))*$C$19*$I$46</f>
        <v>24699381.36989069</v>
      </c>
      <c r="K16" s="231"/>
      <c r="L16" s="231"/>
      <c r="M16" s="232">
        <f t="shared" si="4"/>
        <v>19582169.487788163</v>
      </c>
      <c r="N16" s="133"/>
      <c r="O16" s="133"/>
      <c r="P16" s="133"/>
    </row>
    <row r="17" spans="2:13">
      <c r="B17" s="131" t="s">
        <v>217</v>
      </c>
      <c r="C17" s="105">
        <f>C16*(1+C54)</f>
        <v>1573</v>
      </c>
      <c r="D17" s="229" t="s">
        <v>216</v>
      </c>
      <c r="E17" s="133"/>
      <c r="F17" s="230">
        <v>7</v>
      </c>
      <c r="G17" s="232">
        <f t="shared" si="0"/>
        <v>2453190.9520545476</v>
      </c>
      <c r="H17" s="232">
        <f t="shared" si="1"/>
        <v>0</v>
      </c>
      <c r="I17" s="232">
        <f t="shared" si="2"/>
        <v>2664020.9300479814</v>
      </c>
      <c r="J17" s="232">
        <f t="shared" si="5"/>
        <v>24699381.36989069</v>
      </c>
      <c r="K17" s="231"/>
      <c r="L17" s="231"/>
      <c r="M17" s="232">
        <f t="shared" si="4"/>
        <v>19582169.487788163</v>
      </c>
    </row>
    <row r="18" spans="2:13">
      <c r="B18" s="103" t="str">
        <f>'Sc3 Deep-CBA'!B18</f>
        <v>Cost of grid update/connection</v>
      </c>
      <c r="C18" s="105">
        <f>'Sc3 Deep-CBA'!C18</f>
        <v>250</v>
      </c>
      <c r="D18" s="229"/>
      <c r="E18" s="133"/>
      <c r="F18" s="230">
        <v>8</v>
      </c>
      <c r="G18" s="232">
        <f t="shared" si="0"/>
        <v>2453190.9520545476</v>
      </c>
      <c r="H18" s="232">
        <f t="shared" si="1"/>
        <v>0</v>
      </c>
      <c r="I18" s="232">
        <f t="shared" si="2"/>
        <v>2664020.9300479814</v>
      </c>
      <c r="J18" s="232">
        <f t="shared" si="5"/>
        <v>24699381.36989069</v>
      </c>
      <c r="K18" s="231"/>
      <c r="L18" s="231"/>
      <c r="M18" s="232">
        <f t="shared" ref="M18:M35" si="6">(H18+J18+L18)-(G18+I18+K18)</f>
        <v>19582169.487788163</v>
      </c>
    </row>
    <row r="19" spans="2:13">
      <c r="B19" s="131" t="s">
        <v>151</v>
      </c>
      <c r="C19" s="235">
        <f>C9/C14</f>
        <v>24531.909520545476</v>
      </c>
      <c r="D19" s="229" t="s">
        <v>194</v>
      </c>
      <c r="E19" s="133"/>
      <c r="F19" s="230">
        <v>9</v>
      </c>
      <c r="G19" s="232">
        <f t="shared" si="0"/>
        <v>2453190.9520545476</v>
      </c>
      <c r="H19" s="232">
        <f t="shared" si="1"/>
        <v>0</v>
      </c>
      <c r="I19" s="232">
        <f t="shared" si="2"/>
        <v>2664020.9300479814</v>
      </c>
      <c r="J19" s="232">
        <f t="shared" si="5"/>
        <v>24699381.36989069</v>
      </c>
      <c r="K19" s="231"/>
      <c r="L19" s="231"/>
      <c r="M19" s="232">
        <f t="shared" si="6"/>
        <v>19582169.487788163</v>
      </c>
    </row>
    <row r="20" spans="2:13">
      <c r="B20" s="131" t="s">
        <v>219</v>
      </c>
      <c r="C20" s="235">
        <f>'Sc0-CBA'!C14</f>
        <v>104</v>
      </c>
      <c r="D20" s="229" t="s">
        <v>101</v>
      </c>
      <c r="E20" s="133"/>
      <c r="F20" s="230">
        <v>10</v>
      </c>
      <c r="G20" s="232">
        <f t="shared" si="0"/>
        <v>2453190.9520545476</v>
      </c>
      <c r="H20" s="232">
        <f t="shared" si="1"/>
        <v>0</v>
      </c>
      <c r="I20" s="232">
        <f t="shared" si="2"/>
        <v>2664020.9300479814</v>
      </c>
      <c r="J20" s="232">
        <f t="shared" si="5"/>
        <v>24699381.36989069</v>
      </c>
      <c r="K20" s="231"/>
      <c r="L20" s="231"/>
      <c r="M20" s="232">
        <f t="shared" si="6"/>
        <v>19582169.487788163</v>
      </c>
    </row>
    <row r="21" spans="2:13">
      <c r="B21" s="131" t="s">
        <v>220</v>
      </c>
      <c r="C21" s="235">
        <f>'Sc0-CBA'!C15</f>
        <v>4070</v>
      </c>
      <c r="D21" s="229" t="s">
        <v>101</v>
      </c>
      <c r="E21" s="133"/>
      <c r="F21" s="230">
        <v>11</v>
      </c>
      <c r="G21" s="232">
        <f t="shared" si="0"/>
        <v>2453190.9520545476</v>
      </c>
      <c r="H21" s="232">
        <f t="shared" si="1"/>
        <v>0</v>
      </c>
      <c r="I21" s="232">
        <f t="shared" si="2"/>
        <v>2664020.9300479814</v>
      </c>
      <c r="J21" s="232">
        <f t="shared" si="5"/>
        <v>24699381.36989069</v>
      </c>
      <c r="K21" s="231"/>
      <c r="L21" s="231"/>
      <c r="M21" s="232">
        <f t="shared" si="6"/>
        <v>19582169.487788163</v>
      </c>
    </row>
    <row r="22" spans="2:13">
      <c r="B22" s="103" t="str">
        <f>'Sc0-CBA'!B17</f>
        <v>Degree of efficiency of existing natural gas boiler</v>
      </c>
      <c r="C22" s="279">
        <f>'Sc2-CBA'!C17</f>
        <v>0.85</v>
      </c>
      <c r="D22" s="229" t="s">
        <v>104</v>
      </c>
      <c r="E22" s="133"/>
      <c r="F22" s="230">
        <v>12</v>
      </c>
      <c r="G22" s="232">
        <f t="shared" si="0"/>
        <v>2453190.9520545476</v>
      </c>
      <c r="H22" s="232">
        <f t="shared" si="1"/>
        <v>0</v>
      </c>
      <c r="I22" s="232">
        <f t="shared" si="2"/>
        <v>2664020.9300479814</v>
      </c>
      <c r="J22" s="232">
        <f t="shared" si="5"/>
        <v>24699381.36989069</v>
      </c>
      <c r="K22" s="231"/>
      <c r="L22" s="231"/>
      <c r="M22" s="232">
        <f t="shared" si="6"/>
        <v>19582169.487788163</v>
      </c>
    </row>
    <row r="23" spans="2:13">
      <c r="B23" s="131" t="s">
        <v>221</v>
      </c>
      <c r="C23" s="235">
        <f>'Sc2-CBA'!C21</f>
        <v>3</v>
      </c>
      <c r="D23" s="229"/>
      <c r="E23" s="133"/>
      <c r="F23" s="230">
        <v>13</v>
      </c>
      <c r="G23" s="232">
        <f t="shared" si="0"/>
        <v>2453190.9520545476</v>
      </c>
      <c r="H23" s="232">
        <f t="shared" si="1"/>
        <v>0</v>
      </c>
      <c r="I23" s="232">
        <f t="shared" si="2"/>
        <v>2664020.9300479814</v>
      </c>
      <c r="J23" s="232">
        <f t="shared" si="5"/>
        <v>24699381.36989069</v>
      </c>
      <c r="K23" s="231"/>
      <c r="L23" s="231"/>
      <c r="M23" s="232">
        <f t="shared" si="6"/>
        <v>19582169.487788163</v>
      </c>
    </row>
    <row r="24" spans="2:13">
      <c r="B24" s="131" t="s">
        <v>125</v>
      </c>
      <c r="C24" s="279">
        <f>'Sc1 Medium-CBA'!C16</f>
        <v>0.56000000000000005</v>
      </c>
      <c r="D24" s="229" t="s">
        <v>104</v>
      </c>
      <c r="E24" s="133"/>
      <c r="F24" s="230">
        <v>14</v>
      </c>
      <c r="G24" s="232">
        <f t="shared" si="0"/>
        <v>2453190.9520545476</v>
      </c>
      <c r="H24" s="232">
        <f t="shared" si="1"/>
        <v>0</v>
      </c>
      <c r="I24" s="232">
        <f t="shared" si="2"/>
        <v>2664020.9300479814</v>
      </c>
      <c r="J24" s="232">
        <f t="shared" si="5"/>
        <v>24699381.36989069</v>
      </c>
      <c r="K24" s="231"/>
      <c r="L24" s="231"/>
      <c r="M24" s="232">
        <f t="shared" si="6"/>
        <v>19582169.487788163</v>
      </c>
    </row>
    <row r="25" spans="2:13">
      <c r="B25" s="131" t="s">
        <v>127</v>
      </c>
      <c r="C25" s="279">
        <f>'Sc1 Medium-CBA'!C17</f>
        <v>0.56000000000000005</v>
      </c>
      <c r="D25" s="229" t="s">
        <v>104</v>
      </c>
      <c r="E25" s="133"/>
      <c r="F25" s="230">
        <v>15</v>
      </c>
      <c r="G25" s="232">
        <f t="shared" si="0"/>
        <v>2453190.9520545476</v>
      </c>
      <c r="H25" s="232">
        <f t="shared" si="1"/>
        <v>0</v>
      </c>
      <c r="I25" s="232">
        <f t="shared" si="2"/>
        <v>2664020.9300479814</v>
      </c>
      <c r="J25" s="232">
        <f t="shared" si="5"/>
        <v>24699381.36989069</v>
      </c>
      <c r="K25" s="231"/>
      <c r="L25" s="231"/>
      <c r="M25" s="232">
        <f t="shared" si="6"/>
        <v>19582169.487788163</v>
      </c>
    </row>
    <row r="26" spans="2:13">
      <c r="B26" s="131" t="s">
        <v>154</v>
      </c>
      <c r="C26" s="235">
        <f>C20*C24</f>
        <v>58.240000000000009</v>
      </c>
      <c r="D26" s="229" t="s">
        <v>101</v>
      </c>
      <c r="E26" s="133"/>
      <c r="F26" s="230">
        <v>16</v>
      </c>
      <c r="G26" s="232">
        <f t="shared" si="0"/>
        <v>2453190.9520545476</v>
      </c>
      <c r="H26" s="232">
        <f t="shared" si="1"/>
        <v>0</v>
      </c>
      <c r="I26" s="232">
        <f t="shared" si="2"/>
        <v>2664020.9300479814</v>
      </c>
      <c r="J26" s="232">
        <f t="shared" si="5"/>
        <v>24699381.36989069</v>
      </c>
      <c r="K26" s="231"/>
      <c r="L26" s="231"/>
      <c r="M26" s="232">
        <f t="shared" si="6"/>
        <v>19582169.487788163</v>
      </c>
    </row>
    <row r="27" spans="2:13">
      <c r="B27" s="131" t="s">
        <v>155</v>
      </c>
      <c r="C27" s="235">
        <f>C21*C25</f>
        <v>2279.2000000000003</v>
      </c>
      <c r="D27" s="229" t="s">
        <v>101</v>
      </c>
      <c r="E27" s="133"/>
      <c r="F27" s="230">
        <v>17</v>
      </c>
      <c r="G27" s="232">
        <f t="shared" si="0"/>
        <v>2453190.9520545476</v>
      </c>
      <c r="H27" s="232">
        <f t="shared" si="1"/>
        <v>0</v>
      </c>
      <c r="I27" s="232">
        <f t="shared" si="2"/>
        <v>2664020.9300479814</v>
      </c>
      <c r="J27" s="232">
        <f t="shared" si="5"/>
        <v>24699381.36989069</v>
      </c>
      <c r="K27" s="231"/>
      <c r="L27" s="231"/>
      <c r="M27" s="232">
        <f t="shared" si="6"/>
        <v>19582169.487788163</v>
      </c>
    </row>
    <row r="28" spans="2:13">
      <c r="B28" s="131" t="s">
        <v>222</v>
      </c>
      <c r="C28" s="234">
        <f>'Sc3 Deep-CBA'!C28</f>
        <v>3929.64</v>
      </c>
      <c r="D28" s="229" t="s">
        <v>101</v>
      </c>
      <c r="E28" s="133"/>
      <c r="F28" s="230">
        <v>18</v>
      </c>
      <c r="G28" s="232">
        <f t="shared" si="0"/>
        <v>2453190.9520545476</v>
      </c>
      <c r="H28" s="232">
        <f t="shared" si="1"/>
        <v>0</v>
      </c>
      <c r="I28" s="232">
        <f t="shared" si="2"/>
        <v>2664020.9300479814</v>
      </c>
      <c r="J28" s="232">
        <f t="shared" si="5"/>
        <v>24699381.36989069</v>
      </c>
      <c r="K28" s="231"/>
      <c r="L28" s="231"/>
      <c r="M28" s="232">
        <f t="shared" si="6"/>
        <v>19582169.487788163</v>
      </c>
    </row>
    <row r="29" spans="2:13">
      <c r="B29" s="131" t="s">
        <v>223</v>
      </c>
      <c r="C29" s="234">
        <f>C28+C20*(1-C24)+(C21-C27)/C23</f>
        <v>4572.333333333333</v>
      </c>
      <c r="D29" s="229" t="s">
        <v>101</v>
      </c>
      <c r="E29" s="133"/>
      <c r="F29" s="230">
        <v>19</v>
      </c>
      <c r="G29" s="232">
        <f t="shared" si="0"/>
        <v>2453190.9520545476</v>
      </c>
      <c r="H29" s="232">
        <f t="shared" si="1"/>
        <v>0</v>
      </c>
      <c r="I29" s="232">
        <f t="shared" si="2"/>
        <v>2664020.9300479814</v>
      </c>
      <c r="J29" s="232">
        <f t="shared" si="5"/>
        <v>24699381.36989069</v>
      </c>
      <c r="K29" s="231"/>
      <c r="L29" s="231"/>
      <c r="M29" s="232">
        <f t="shared" si="6"/>
        <v>19582169.487788163</v>
      </c>
    </row>
    <row r="30" spans="2:13">
      <c r="B30" s="131" t="s">
        <v>113</v>
      </c>
      <c r="C30" s="237">
        <f>'Energy prices'!$C$6/1000</f>
        <v>0.24</v>
      </c>
      <c r="D30" s="229" t="s">
        <v>114</v>
      </c>
      <c r="E30" s="133"/>
      <c r="F30" s="230">
        <v>20</v>
      </c>
      <c r="G30" s="232">
        <f t="shared" si="0"/>
        <v>2453190.9520545476</v>
      </c>
      <c r="H30" s="232">
        <f t="shared" si="1"/>
        <v>0</v>
      </c>
      <c r="I30" s="232">
        <f t="shared" si="2"/>
        <v>2664020.9300479814</v>
      </c>
      <c r="J30" s="232">
        <f t="shared" si="5"/>
        <v>24699381.36989069</v>
      </c>
      <c r="K30" s="231"/>
      <c r="L30" s="231"/>
      <c r="M30" s="232">
        <f t="shared" si="6"/>
        <v>19582169.487788163</v>
      </c>
    </row>
    <row r="31" spans="2:13">
      <c r="B31" s="131" t="s">
        <v>224</v>
      </c>
      <c r="C31" s="275">
        <v>0.5</v>
      </c>
      <c r="D31" s="229" t="s">
        <v>104</v>
      </c>
      <c r="E31" s="133"/>
      <c r="F31" s="230">
        <v>21</v>
      </c>
      <c r="G31" s="232">
        <f t="shared" si="0"/>
        <v>2453190.9520545476</v>
      </c>
      <c r="H31" s="232">
        <f t="shared" si="1"/>
        <v>0</v>
      </c>
      <c r="I31" s="232">
        <f t="shared" si="2"/>
        <v>2664020.9300479814</v>
      </c>
      <c r="J31" s="232">
        <f t="shared" si="5"/>
        <v>24699381.36989069</v>
      </c>
      <c r="K31" s="231"/>
      <c r="L31" s="231"/>
      <c r="M31" s="232">
        <f t="shared" si="6"/>
        <v>19582169.487788163</v>
      </c>
    </row>
    <row r="32" spans="2:13">
      <c r="B32" s="131" t="s">
        <v>225</v>
      </c>
      <c r="C32" s="110">
        <f>C30*C31</f>
        <v>0.12</v>
      </c>
      <c r="D32" s="229" t="s">
        <v>114</v>
      </c>
      <c r="E32" s="133"/>
      <c r="F32" s="230">
        <v>22</v>
      </c>
      <c r="G32" s="232">
        <f t="shared" si="0"/>
        <v>2453190.9520545476</v>
      </c>
      <c r="H32" s="232">
        <f t="shared" si="1"/>
        <v>0</v>
      </c>
      <c r="I32" s="232">
        <f t="shared" si="2"/>
        <v>2664020.9300479814</v>
      </c>
      <c r="J32" s="232">
        <f t="shared" si="5"/>
        <v>24699381.36989069</v>
      </c>
      <c r="K32" s="231"/>
      <c r="L32" s="231"/>
      <c r="M32" s="232">
        <f t="shared" si="6"/>
        <v>19582169.487788163</v>
      </c>
    </row>
    <row r="33" spans="2:13">
      <c r="B33" s="103" t="str">
        <f>'Sc0-CBA'!B26</f>
        <v>Natural gas price</v>
      </c>
      <c r="C33" s="107">
        <f>'Sc0-CBA'!C26</f>
        <v>0.114</v>
      </c>
      <c r="D33" s="229" t="s">
        <v>114</v>
      </c>
      <c r="E33" s="133"/>
      <c r="F33" s="230">
        <v>23</v>
      </c>
      <c r="G33" s="232">
        <f t="shared" si="0"/>
        <v>2453190.9520545476</v>
      </c>
      <c r="H33" s="232">
        <f t="shared" si="1"/>
        <v>0</v>
      </c>
      <c r="I33" s="232">
        <f t="shared" si="2"/>
        <v>2664020.9300479814</v>
      </c>
      <c r="J33" s="232">
        <f t="shared" si="5"/>
        <v>24699381.36989069</v>
      </c>
      <c r="K33" s="231"/>
      <c r="L33" s="231"/>
      <c r="M33" s="232">
        <f t="shared" si="6"/>
        <v>19582169.487788163</v>
      </c>
    </row>
    <row r="34" spans="2:13">
      <c r="B34" s="131" t="s">
        <v>118</v>
      </c>
      <c r="C34" s="238">
        <v>0</v>
      </c>
      <c r="D34" s="229" t="s">
        <v>86</v>
      </c>
      <c r="E34" s="133"/>
      <c r="F34" s="230">
        <v>24</v>
      </c>
      <c r="G34" s="232">
        <f t="shared" si="0"/>
        <v>2453190.9520545476</v>
      </c>
      <c r="H34" s="232">
        <f t="shared" si="1"/>
        <v>0</v>
      </c>
      <c r="I34" s="232">
        <f t="shared" si="2"/>
        <v>2664020.9300479814</v>
      </c>
      <c r="J34" s="232">
        <f t="shared" si="5"/>
        <v>24699381.36989069</v>
      </c>
      <c r="K34" s="231"/>
      <c r="L34" s="231"/>
      <c r="M34" s="232">
        <f t="shared" si="6"/>
        <v>19582169.487788163</v>
      </c>
    </row>
    <row r="35" spans="2:13">
      <c r="B35" s="131" t="s">
        <v>119</v>
      </c>
      <c r="C35" s="238">
        <v>100</v>
      </c>
      <c r="D35" s="229" t="s">
        <v>86</v>
      </c>
      <c r="E35" s="133"/>
      <c r="F35" s="230">
        <v>25</v>
      </c>
      <c r="G35" s="232">
        <f t="shared" si="0"/>
        <v>2453190.9520545476</v>
      </c>
      <c r="H35" s="232">
        <f t="shared" si="1"/>
        <v>0</v>
      </c>
      <c r="I35" s="232">
        <f t="shared" si="2"/>
        <v>2664020.9300479814</v>
      </c>
      <c r="J35" s="232">
        <f t="shared" si="5"/>
        <v>24699381.36989069</v>
      </c>
      <c r="K35" s="231"/>
      <c r="L35" s="232">
        <f>C9*C36</f>
        <v>68000000</v>
      </c>
      <c r="M35" s="232">
        <f t="shared" si="6"/>
        <v>87582169.487788156</v>
      </c>
    </row>
    <row r="36" spans="2:13">
      <c r="B36" s="131" t="s">
        <v>93</v>
      </c>
      <c r="C36" s="239">
        <v>0.1</v>
      </c>
      <c r="D36" s="229" t="s">
        <v>120</v>
      </c>
      <c r="E36" s="133"/>
      <c r="F36" s="134" t="s">
        <v>116</v>
      </c>
      <c r="G36" s="98">
        <f t="shared" ref="G36:M36" si="7">NPV($C$37,G11:G35)+G10</f>
        <v>42717776.363032751</v>
      </c>
      <c r="H36" s="98">
        <f t="shared" si="7"/>
        <v>0</v>
      </c>
      <c r="I36" s="98">
        <f t="shared" si="7"/>
        <v>46388989.907581314</v>
      </c>
      <c r="J36" s="98">
        <f t="shared" si="7"/>
        <v>428609644.4722743</v>
      </c>
      <c r="K36" s="98">
        <f t="shared" si="7"/>
        <v>630936180.95890903</v>
      </c>
      <c r="L36" s="98">
        <f t="shared" si="7"/>
        <v>66019417.475728154</v>
      </c>
      <c r="M36" s="98">
        <f t="shared" si="7"/>
        <v>-258956124.04745609</v>
      </c>
    </row>
    <row r="37" spans="2:13">
      <c r="B37" s="131" t="s">
        <v>121</v>
      </c>
      <c r="C37" s="239">
        <v>0.03</v>
      </c>
      <c r="D37" s="229" t="s">
        <v>104</v>
      </c>
      <c r="E37" s="133"/>
      <c r="F37" s="133"/>
      <c r="G37" s="133"/>
      <c r="H37" s="133"/>
      <c r="I37" s="133"/>
      <c r="J37" s="133"/>
      <c r="K37" s="133"/>
      <c r="L37" s="133"/>
      <c r="M37" s="133"/>
    </row>
    <row r="38" spans="2:13">
      <c r="B38" s="131" t="s">
        <v>226</v>
      </c>
      <c r="C38" s="243">
        <f>C26+C27+(C28-C29)</f>
        <v>1694.7466666666674</v>
      </c>
      <c r="D38" s="229" t="s">
        <v>101</v>
      </c>
      <c r="E38" s="133"/>
      <c r="F38" s="164"/>
      <c r="G38" s="165"/>
      <c r="H38" s="165"/>
      <c r="I38" s="165"/>
      <c r="J38" s="165"/>
      <c r="K38" s="165"/>
      <c r="L38" s="165"/>
      <c r="M38" s="165"/>
    </row>
    <row r="39" spans="2:13">
      <c r="B39" s="131" t="s">
        <v>227</v>
      </c>
      <c r="C39" s="245">
        <f>'Sc0-CBA'!C16</f>
        <v>0.95</v>
      </c>
      <c r="D39" s="229" t="s">
        <v>104</v>
      </c>
      <c r="E39" s="133"/>
      <c r="F39" s="164"/>
      <c r="G39" s="165"/>
      <c r="H39" s="165"/>
      <c r="I39" s="165"/>
      <c r="J39" s="165"/>
      <c r="K39" s="165"/>
      <c r="L39" s="165"/>
      <c r="M39" s="165"/>
    </row>
    <row r="40" spans="2:13">
      <c r="B40" s="103" t="str">
        <f>'Sc0-CBA'!B19</f>
        <v>Degree of efficiency of petroleum boiler</v>
      </c>
      <c r="C40" s="245">
        <f>'Sc0-CBA'!C19</f>
        <v>0.8</v>
      </c>
      <c r="D40" s="229" t="s">
        <v>104</v>
      </c>
      <c r="E40" s="133"/>
      <c r="F40" s="164"/>
      <c r="G40" s="165"/>
      <c r="H40" s="165"/>
      <c r="I40" s="165"/>
      <c r="J40" s="165"/>
      <c r="K40" s="165"/>
      <c r="L40" s="165"/>
      <c r="M40" s="165"/>
    </row>
    <row r="41" spans="2:13">
      <c r="B41" s="131" t="s">
        <v>108</v>
      </c>
      <c r="C41" s="245">
        <f>'Sc0-CBA'!C20</f>
        <v>0.3</v>
      </c>
      <c r="D41" s="229" t="s">
        <v>104</v>
      </c>
      <c r="E41" s="133"/>
      <c r="F41" s="164"/>
      <c r="G41" s="165"/>
      <c r="H41" s="104" t="str">
        <f>'Sc0-CBA'!G32</f>
        <v>Fuel share per households in the region</v>
      </c>
      <c r="I41" s="242"/>
      <c r="J41" s="133"/>
      <c r="K41" s="165"/>
      <c r="L41" s="165"/>
      <c r="M41" s="165"/>
    </row>
    <row r="42" spans="2:13">
      <c r="B42" s="103" t="str">
        <f>'Sc0-CBA'!B21</f>
        <v>Degree of efficiency of electric boiler</v>
      </c>
      <c r="C42" s="245">
        <f>'Sc0-CBA'!C21</f>
        <v>1</v>
      </c>
      <c r="D42" s="229"/>
      <c r="E42" s="133"/>
      <c r="F42" s="164"/>
      <c r="G42" s="165"/>
      <c r="H42" s="160"/>
      <c r="I42" s="242"/>
      <c r="J42" s="133"/>
      <c r="K42" s="165"/>
      <c r="L42" s="165"/>
      <c r="M42" s="165"/>
    </row>
    <row r="43" spans="2:13">
      <c r="B43" s="103" t="str">
        <f>'Sc0-CBA'!B27</f>
        <v>Petroleum price</v>
      </c>
      <c r="C43" s="243">
        <f>'Energy prices'!C7/1000</f>
        <v>0.11</v>
      </c>
      <c r="D43" s="229" t="s">
        <v>101</v>
      </c>
      <c r="E43" s="133"/>
      <c r="F43" s="164"/>
      <c r="G43" s="165"/>
      <c r="H43" s="244" t="str">
        <f>'Sc0-CBA'!G33</f>
        <v>Natural gas</v>
      </c>
      <c r="I43" s="247">
        <f>'Sc0-CBA'!H33</f>
        <v>0.48</v>
      </c>
      <c r="J43" s="133"/>
      <c r="K43" s="165"/>
      <c r="L43" s="165"/>
      <c r="M43" s="165"/>
    </row>
    <row r="44" spans="2:13">
      <c r="B44" s="131" t="s">
        <v>122</v>
      </c>
      <c r="C44" s="243">
        <f>'Energy prices'!C10/1000</f>
        <v>1.7000000000000001E-2</v>
      </c>
      <c r="D44" s="229" t="s">
        <v>101</v>
      </c>
      <c r="E44" s="133"/>
      <c r="F44" s="164"/>
      <c r="G44" s="165"/>
      <c r="H44" s="244" t="str">
        <f>'Sc0-CBA'!G34</f>
        <v>Petroleum derivatives</v>
      </c>
      <c r="I44" s="247">
        <f>'Sc0-CBA'!H34</f>
        <v>0.2</v>
      </c>
      <c r="J44" s="133"/>
      <c r="K44" s="165"/>
      <c r="L44" s="165"/>
      <c r="M44" s="165"/>
    </row>
    <row r="45" spans="2:13">
      <c r="B45" s="155"/>
      <c r="C45" s="278"/>
      <c r="D45" s="249"/>
      <c r="E45" s="133"/>
      <c r="F45" s="164"/>
      <c r="G45" s="165"/>
      <c r="H45" s="246" t="s">
        <v>128</v>
      </c>
      <c r="I45" s="247">
        <f>'Sc0-CBA'!H35</f>
        <v>0.19</v>
      </c>
      <c r="J45" s="133"/>
      <c r="K45" s="165"/>
      <c r="L45" s="165"/>
      <c r="M45" s="165"/>
    </row>
    <row r="46" spans="2:13">
      <c r="B46" s="133"/>
      <c r="C46" s="249"/>
      <c r="D46" s="133"/>
      <c r="E46" s="133"/>
      <c r="F46" s="133"/>
      <c r="G46" s="133"/>
      <c r="H46" s="246" t="s">
        <v>78</v>
      </c>
      <c r="I46" s="247">
        <f>'Sc0-CBA'!H36</f>
        <v>0</v>
      </c>
      <c r="J46" s="133"/>
      <c r="K46" s="133"/>
      <c r="L46" s="133"/>
      <c r="M46" s="133"/>
    </row>
    <row r="47" spans="2:13">
      <c r="B47" s="133"/>
      <c r="C47" s="249"/>
      <c r="D47" s="133"/>
      <c r="E47" s="133"/>
      <c r="F47" s="133"/>
      <c r="G47" s="133"/>
      <c r="H47" s="246" t="s">
        <v>81</v>
      </c>
      <c r="I47" s="247">
        <f>'Sc0-CBA'!H37</f>
        <v>0.12</v>
      </c>
      <c r="J47" s="133"/>
      <c r="K47" s="133"/>
      <c r="L47" s="133"/>
      <c r="M47" s="133"/>
    </row>
    <row r="48" spans="2:13">
      <c r="B48" s="135" t="s">
        <v>133</v>
      </c>
      <c r="C48" s="100">
        <f>NPV(C37,M11:M35)+M10</f>
        <v>-258956124.04745609</v>
      </c>
      <c r="D48" s="133"/>
      <c r="E48" s="133"/>
      <c r="F48" s="133"/>
      <c r="G48" s="133"/>
      <c r="H48" s="246" t="s">
        <v>116</v>
      </c>
      <c r="I48" s="247">
        <f>SUM(I43:I47)</f>
        <v>0.98999999999999988</v>
      </c>
      <c r="J48" s="133"/>
      <c r="K48" s="133"/>
      <c r="L48" s="133"/>
      <c r="M48" s="133"/>
    </row>
    <row r="49" spans="2:4">
      <c r="B49" s="135" t="s">
        <v>134</v>
      </c>
      <c r="C49" s="101">
        <f>IRR(M10:M35)</f>
        <v>-8.5345377011657453E-3</v>
      </c>
      <c r="D49" s="133"/>
    </row>
    <row r="50" spans="2:4">
      <c r="B50" s="135" t="s">
        <v>135</v>
      </c>
      <c r="C50" s="102">
        <f>(H36+J36+L36)/(G36+I36+K36)</f>
        <v>0.68694383279659155</v>
      </c>
      <c r="D50" s="133"/>
    </row>
    <row r="52" spans="2:4">
      <c r="B52" s="131" t="s">
        <v>136</v>
      </c>
      <c r="C52" s="239">
        <v>0</v>
      </c>
      <c r="D52" s="229" t="s">
        <v>104</v>
      </c>
    </row>
    <row r="53" spans="2:4">
      <c r="B53" s="133"/>
      <c r="C53" s="133"/>
      <c r="D53" s="133"/>
    </row>
    <row r="54" spans="2:4">
      <c r="B54" s="152" t="s">
        <v>192</v>
      </c>
      <c r="C54" s="245">
        <f>'Sc0-SCBA'!C83</f>
        <v>0.21</v>
      </c>
      <c r="D54" s="133"/>
    </row>
    <row r="55" spans="2:4">
      <c r="B55" s="133"/>
      <c r="C55" s="133"/>
      <c r="D55" s="133"/>
    </row>
    <row r="56" spans="2:4" hidden="1">
      <c r="B56" s="137" t="s">
        <v>137</v>
      </c>
      <c r="C56" s="133">
        <v>1</v>
      </c>
      <c r="D56" s="133" t="s">
        <v>138</v>
      </c>
    </row>
    <row r="57" spans="2:4" hidden="1">
      <c r="B57" s="133" t="s">
        <v>139</v>
      </c>
      <c r="C57" s="250">
        <f>IF(C56=1,C33*(1+D57),C33)</f>
        <v>0.11468400000000001</v>
      </c>
      <c r="D57" s="251">
        <v>6.0000000000000001E-3</v>
      </c>
    </row>
    <row r="58" spans="2:4" hidden="1">
      <c r="B58" s="133" t="s">
        <v>140</v>
      </c>
      <c r="C58" s="250">
        <f>IF(C56=1,(C57+D58),C33)</f>
        <v>0.11868400000000001</v>
      </c>
      <c r="D58" s="251">
        <v>4.0000000000000001E-3</v>
      </c>
    </row>
    <row r="59" spans="2:4" hidden="1">
      <c r="B59" s="133" t="s">
        <v>141</v>
      </c>
      <c r="C59" s="250">
        <f>IF(C56=1,(C58+D59),C33)</f>
        <v>0.11968400000000001</v>
      </c>
      <c r="D59" s="251">
        <v>1E-3</v>
      </c>
    </row>
    <row r="60" spans="2:4" hidden="1">
      <c r="B60" s="133" t="s">
        <v>142</v>
      </c>
      <c r="C60" s="250">
        <f>IF(C56=1,(C59+D60),C33)</f>
        <v>0.12068400000000001</v>
      </c>
      <c r="D60" s="251">
        <v>1E-3</v>
      </c>
    </row>
    <row r="61" spans="2:4" hidden="1">
      <c r="B61" s="233" t="str">
        <f>'Sc0-CBA'!B54</f>
        <v>Petroleum price ETS 2 Year 3</v>
      </c>
      <c r="C61" s="253">
        <f>IF(C56=1,C43*(1+D61),C43)</f>
        <v>0.11088000000000001</v>
      </c>
      <c r="D61" s="251">
        <v>8.0000000000000002E-3</v>
      </c>
    </row>
    <row r="62" spans="2:4" hidden="1">
      <c r="B62" s="233" t="str">
        <f>'Sc0-CBA'!B55</f>
        <v>Petroleum price ETS 2 Year 4</v>
      </c>
      <c r="C62" s="253">
        <f>IF($C$56=1,C61+D62,$C$43)</f>
        <v>0.11588000000000001</v>
      </c>
      <c r="D62" s="251">
        <v>5.0000000000000001E-3</v>
      </c>
    </row>
    <row r="63" spans="2:4" hidden="1">
      <c r="B63" s="233" t="str">
        <f>'Sc0-CBA'!B56</f>
        <v>Petroleum price ETS 2 Year 5</v>
      </c>
      <c r="C63" s="253">
        <f>IF($C$56=1,C62+D63,$C$43)</f>
        <v>0.11688000000000001</v>
      </c>
      <c r="D63" s="251">
        <v>1E-3</v>
      </c>
    </row>
    <row r="64" spans="2:4" hidden="1">
      <c r="B64" s="233" t="str">
        <f>'Sc0-CBA'!B57</f>
        <v>Petroleum price ETS 2 Year 6</v>
      </c>
      <c r="C64" s="253">
        <f>IF($C$56=1,C63+D64,$C$43)</f>
        <v>0.11788000000000001</v>
      </c>
      <c r="D64" s="251">
        <v>1E-3</v>
      </c>
    </row>
  </sheetData>
  <sheetProtection algorithmName="SHA-512" hashValue="7YElbz8jfX2SK2AvEN9jTY/A7t7aPSuRv0ElebAfPEwxIUd0AtxEPnemmLaPVJUbTiR6JL1e6B0JHG7PxikQJA==" saltValue="K0wXT7yItpLDQJzXI25x+g==" spinCount="100000" sheet="1" objects="1" scenarios="1" selectLockedCells="1"/>
  <mergeCells count="2">
    <mergeCell ref="C1:N3"/>
    <mergeCell ref="B4:D4"/>
  </mergeCells>
  <pageMargins left="0.7" right="0.7" top="0.75" bottom="0.75" header="0.3" footer="0.3"/>
  <pageSetup orientation="portrait" horizontalDpi="4294967293" verticalDpi="4294967293"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54EEC-C9EC-44D8-82F3-2CDF9BCCF83E}">
  <sheetPr>
    <tabColor theme="7" tint="-0.499984740745262"/>
  </sheetPr>
  <dimension ref="A1:P98"/>
  <sheetViews>
    <sheetView zoomScale="50" zoomScaleNormal="50" workbookViewId="0">
      <selection activeCell="C9" sqref="C9"/>
    </sheetView>
  </sheetViews>
  <sheetFormatPr defaultColWidth="0" defaultRowHeight="14.1"/>
  <cols>
    <col min="1" max="1" width="3.5703125" style="121" customWidth="1"/>
    <col min="2" max="2" width="58" style="121" customWidth="1"/>
    <col min="3" max="3" width="20.5703125" style="136" customWidth="1"/>
    <col min="4" max="4" width="20.140625" style="121" bestFit="1" customWidth="1"/>
    <col min="5" max="6" width="8.85546875" style="121" customWidth="1"/>
    <col min="7" max="7" width="14.5703125" style="121" bestFit="1" customWidth="1"/>
    <col min="8" max="8" width="13.42578125" style="121" bestFit="1" customWidth="1"/>
    <col min="9" max="9" width="18.140625" style="121" bestFit="1" customWidth="1"/>
    <col min="10" max="10" width="17" style="121" bestFit="1" customWidth="1"/>
    <col min="11" max="12" width="17" style="121" customWidth="1"/>
    <col min="13" max="13" width="18.42578125" style="121" bestFit="1" customWidth="1"/>
    <col min="14" max="14" width="18.5703125" style="121" bestFit="1" customWidth="1"/>
    <col min="15" max="15" width="20" style="121" bestFit="1" customWidth="1"/>
    <col min="16" max="16" width="8.85546875" style="121" customWidth="1"/>
    <col min="17" max="16384" width="8.85546875" style="121" hidden="1"/>
  </cols>
  <sheetData>
    <row r="1" spans="1:16" ht="14.1" customHeight="1">
      <c r="A1" s="133"/>
      <c r="B1" s="133"/>
      <c r="C1" s="218" t="s">
        <v>231</v>
      </c>
      <c r="D1" s="218"/>
      <c r="E1" s="218"/>
      <c r="F1" s="218"/>
      <c r="G1" s="218"/>
      <c r="H1" s="218"/>
      <c r="I1" s="218"/>
      <c r="J1" s="218"/>
      <c r="K1" s="218"/>
      <c r="L1" s="218"/>
      <c r="M1" s="218"/>
      <c r="N1" s="218"/>
      <c r="O1" s="133"/>
      <c r="P1" s="133"/>
    </row>
    <row r="2" spans="1:16" ht="14.1" customHeight="1">
      <c r="A2" s="133"/>
      <c r="B2" s="133"/>
      <c r="C2" s="218"/>
      <c r="D2" s="218"/>
      <c r="E2" s="218"/>
      <c r="F2" s="218"/>
      <c r="G2" s="218"/>
      <c r="H2" s="218"/>
      <c r="I2" s="218"/>
      <c r="J2" s="218"/>
      <c r="K2" s="218"/>
      <c r="L2" s="218"/>
      <c r="M2" s="218"/>
      <c r="N2" s="218"/>
      <c r="O2" s="133"/>
      <c r="P2" s="133"/>
    </row>
    <row r="3" spans="1:16" ht="14.1" customHeight="1">
      <c r="A3" s="133"/>
      <c r="B3" s="133"/>
      <c r="C3" s="218"/>
      <c r="D3" s="218"/>
      <c r="E3" s="218"/>
      <c r="F3" s="218"/>
      <c r="G3" s="218"/>
      <c r="H3" s="218"/>
      <c r="I3" s="218"/>
      <c r="J3" s="218"/>
      <c r="K3" s="218"/>
      <c r="L3" s="218"/>
      <c r="M3" s="218"/>
      <c r="N3" s="218"/>
      <c r="O3" s="133"/>
      <c r="P3" s="133"/>
    </row>
    <row r="4" spans="1:16" ht="14.45">
      <c r="A4" s="60"/>
      <c r="B4" s="214"/>
      <c r="C4" s="226"/>
      <c r="D4" s="226"/>
      <c r="E4" s="61"/>
      <c r="F4" s="62"/>
      <c r="G4" s="60"/>
      <c r="H4" s="63"/>
      <c r="I4" s="63"/>
      <c r="J4" s="61"/>
      <c r="K4" s="64"/>
      <c r="L4" s="64"/>
      <c r="M4" s="133"/>
      <c r="N4" s="133"/>
      <c r="O4" s="133"/>
      <c r="P4" s="133"/>
    </row>
    <row r="5" spans="1:16" ht="14.45">
      <c r="A5" s="122"/>
      <c r="B5" s="123"/>
      <c r="C5" s="124"/>
      <c r="D5" s="124"/>
      <c r="E5" s="125"/>
      <c r="F5" s="126"/>
      <c r="G5" s="122"/>
      <c r="H5" s="123"/>
      <c r="I5" s="123"/>
      <c r="J5" s="125"/>
      <c r="K5" s="126"/>
      <c r="L5" s="126"/>
      <c r="M5" s="133"/>
      <c r="N5" s="133"/>
      <c r="O5" s="133"/>
      <c r="P5" s="133"/>
    </row>
    <row r="6" spans="1:16" ht="15">
      <c r="A6" s="227"/>
      <c r="B6" s="127" t="s">
        <v>83</v>
      </c>
      <c r="C6" s="128" t="s">
        <v>84</v>
      </c>
      <c r="D6" s="128"/>
      <c r="E6" s="128"/>
      <c r="F6" s="128"/>
      <c r="G6" s="128"/>
      <c r="H6" s="129"/>
      <c r="I6" s="129"/>
      <c r="J6" s="129"/>
      <c r="K6" s="130"/>
      <c r="L6" s="228"/>
      <c r="M6" s="227"/>
      <c r="N6" s="227"/>
      <c r="O6" s="227"/>
      <c r="P6" s="227"/>
    </row>
    <row r="7" spans="1:16" ht="15">
      <c r="A7" s="227"/>
      <c r="B7" s="127"/>
      <c r="C7" s="128"/>
      <c r="D7" s="128"/>
      <c r="E7" s="128"/>
      <c r="F7" s="128"/>
      <c r="G7" s="128"/>
      <c r="H7" s="129"/>
      <c r="I7" s="129"/>
      <c r="J7" s="129"/>
      <c r="K7" s="130"/>
      <c r="L7" s="228"/>
      <c r="M7" s="227"/>
      <c r="N7" s="227"/>
      <c r="O7" s="227"/>
      <c r="P7" s="227"/>
    </row>
    <row r="9" spans="1:16">
      <c r="A9" s="133"/>
      <c r="B9" s="131" t="s">
        <v>85</v>
      </c>
      <c r="C9" s="254">
        <f>'Sc3 Deep-CBA'!C9</f>
        <v>680000000</v>
      </c>
      <c r="D9" s="229" t="s">
        <v>86</v>
      </c>
      <c r="E9" s="133"/>
      <c r="F9" s="132" t="s">
        <v>87</v>
      </c>
      <c r="G9" s="132" t="s">
        <v>207</v>
      </c>
      <c r="H9" s="132" t="s">
        <v>208</v>
      </c>
      <c r="I9" s="132" t="s">
        <v>90</v>
      </c>
      <c r="J9" s="132" t="s">
        <v>91</v>
      </c>
      <c r="K9" s="132" t="s">
        <v>148</v>
      </c>
      <c r="L9" s="132" t="s">
        <v>149</v>
      </c>
      <c r="M9" s="132" t="s">
        <v>92</v>
      </c>
      <c r="N9" s="132" t="s">
        <v>93</v>
      </c>
      <c r="O9" s="132" t="s">
        <v>94</v>
      </c>
      <c r="P9" s="133"/>
    </row>
    <row r="10" spans="1:16">
      <c r="A10" s="133"/>
      <c r="B10" s="131" t="s">
        <v>209</v>
      </c>
      <c r="C10" s="234">
        <f>'Sc2-CBA'!C12</f>
        <v>2000</v>
      </c>
      <c r="D10" s="229" t="s">
        <v>86</v>
      </c>
      <c r="E10" s="133"/>
      <c r="F10" s="230">
        <v>0</v>
      </c>
      <c r="G10" s="231"/>
      <c r="H10" s="231"/>
      <c r="I10" s="231"/>
      <c r="J10" s="231"/>
      <c r="K10" s="231"/>
      <c r="L10" s="232">
        <f>IF(C60=1,C87,0)</f>
        <v>503280634.15957689</v>
      </c>
      <c r="M10" s="232">
        <f>C9-C10*C20</f>
        <v>637123490.65229046</v>
      </c>
      <c r="N10" s="231"/>
      <c r="O10" s="232">
        <f>(H10+J10+L10+N10)-(G10+I10+K10+M10)</f>
        <v>-133842856.49271357</v>
      </c>
      <c r="P10" s="133"/>
    </row>
    <row r="11" spans="1:16">
      <c r="A11" s="133"/>
      <c r="B11" s="131" t="s">
        <v>210</v>
      </c>
      <c r="C11" s="234">
        <f>'Sc1 Deep-CBA'!C10</f>
        <v>17000</v>
      </c>
      <c r="D11" s="229" t="s">
        <v>86</v>
      </c>
      <c r="E11" s="133"/>
      <c r="F11" s="230">
        <v>1</v>
      </c>
      <c r="G11" s="232">
        <f>$C$36*$C$20/(1+$C$54)</f>
        <v>1771756.5846160983</v>
      </c>
      <c r="H11" s="232">
        <f t="shared" ref="H11:H35" si="0">$C$35</f>
        <v>0</v>
      </c>
      <c r="I11" s="232">
        <f>(($C$22*$C$23*(1-$C$26))/$C$24*$C$31*$C$20*$I$43)+(($C$22*$C$40*(1-$C$26))/$C$24*$C$31*$C$20*$I$44)+(($C$22*$C$42*(1-$C$26))/$C$24*$C$31*$C$20*$I$45)+(($C$22*$C$41*(1-$C$26))/$C$24*$C$31*$C$20*$I$46)</f>
        <v>1448869.7350273759</v>
      </c>
      <c r="J11" s="232">
        <f>($C$27*$C$31+$C$22*$C$34+$C$30*($C$31-$C$33))*$C$20*$I$43+($C$27*$C$31+$C$22*$C$43+$C$30*($C$31-$C$33))*$C$20*$I$44+($C$27*$C$31+$C$22*$C$31+$C$30*($C$31-$C$33))*$C$20*$I$45+($C$27*$C$31+$C$22*$C$44+$C$30*($C$31-$C$33))*$C$20*$I$46</f>
        <v>18319045.344430782</v>
      </c>
      <c r="K11" s="232">
        <f>(($C$22*$C$23*(1-$C$26))*$C$73/1000+$C$15*$C$19*8760*$C$75/1000)*$C$20</f>
        <v>2529441.8071187614</v>
      </c>
      <c r="L11" s="280">
        <f>($C$27*$C$74/1000+$C$28*$C$80/1000+$C$15*$C$19*8760*$C$74/1000)*$C$20*$I$43+($C$27*$C$74/1000+$C$28*$C$68/1000+$C$15*$C$19*8760*$C$74/1000)*$C$20*$I$44+($C$27*$C$74/1000+$C$28*$C$79/1000+$C$15*$C$19*8760*$C$74/1000)*$C$20*$I$45+($C$27*$C$74/1000+$C$28*$C$78/1000+$C$15*$C$19*8760*$C$74/1000)*$C$20*$I$46+(J11-I11)*$C$97*$C$98</f>
        <v>6475785.4092499763</v>
      </c>
      <c r="M11" s="231"/>
      <c r="N11" s="231"/>
      <c r="O11" s="232">
        <f t="shared" ref="O11:O17" si="1">(H11+J11+L11+N11)-(G11+I11+K11+M11)</f>
        <v>19044762.626918525</v>
      </c>
      <c r="P11" s="133"/>
    </row>
    <row r="12" spans="1:16">
      <c r="A12" s="133"/>
      <c r="B12" s="131" t="s">
        <v>211</v>
      </c>
      <c r="C12" s="234">
        <f>'Sc2-CBA'!C10</f>
        <v>10000</v>
      </c>
      <c r="D12" s="229" t="s">
        <v>86</v>
      </c>
      <c r="E12" s="133"/>
      <c r="F12" s="230">
        <v>2</v>
      </c>
      <c r="G12" s="232">
        <f t="shared" ref="G12:G35" si="2">$C$36*$C$20/(1+$C$54)</f>
        <v>1771756.5846160983</v>
      </c>
      <c r="H12" s="232">
        <f t="shared" si="0"/>
        <v>0</v>
      </c>
      <c r="I12" s="232">
        <f t="shared" ref="I12:I35" si="3">(($C$22*$C$23*(1-$C$26))/$C$24*$C$31*$C$20*$I$43)+(($C$22*$C$40*(1-$C$26))/$C$24*$C$31*$C$20*$I$44)+(($C$22*$C$42*(1-$C$26))/$C$24*$C$31*$C$20*$I$45)+(($C$22*$C$41*(1-$C$26))/$C$24*$C$31*$C$20*$I$46)</f>
        <v>1448869.7350273759</v>
      </c>
      <c r="J12" s="232">
        <f t="shared" ref="J12:J35" si="4">($C$27*$C$31+$C$22*$C$34+$C$30*($C$31-$C$33))*$C$20*$I$43+($C$27*$C$31+$C$22*$C$43+$C$30*($C$31-$C$33))*$C$20*$I$44+($C$27*$C$31+$C$22*$C$31+$C$30*($C$31-$C$33))*$C$20*$I$45+($C$27*$C$31+$C$22*$C$44+$C$30*($C$31-$C$33))*$C$20*$I$46</f>
        <v>18319045.344430782</v>
      </c>
      <c r="K12" s="232">
        <f t="shared" ref="K12:K35" si="5">(($C$22*$C$23*(1-$C$26))*$C$73/1000+$C$15*$C$19*8760*$C$75/1000)*$C$20</f>
        <v>2529441.8071187614</v>
      </c>
      <c r="L12" s="280">
        <f t="shared" ref="L12:L35" si="6">($C$27*$C$74/1000+$C$28*$C$80/1000+$C$15*$C$19*8760*$C$74/1000)*$C$20*$I$43+($C$27*$C$74/1000+$C$28*$C$68/1000+$C$15*$C$19*8760*$C$74/1000)*$C$20*$I$44+($C$27*$C$74/1000+$C$28*$C$79/1000+$C$15*$C$19*8760*$C$74/1000)*$C$20*$I$45+($C$27*$C$74/1000+$C$28*$C$78/1000+$C$15*$C$19*8760*$C$74/1000)*$C$20*$I$46+(J12-I12)*$C$97*$C$98</f>
        <v>6475785.4092499763</v>
      </c>
      <c r="M12" s="231"/>
      <c r="N12" s="231"/>
      <c r="O12" s="232">
        <f t="shared" si="1"/>
        <v>19044762.626918525</v>
      </c>
      <c r="P12" s="133"/>
    </row>
    <row r="13" spans="1:16">
      <c r="A13" s="133"/>
      <c r="B13" s="131" t="s">
        <v>212</v>
      </c>
      <c r="C13" s="234">
        <f>C15*(C17+C18)</f>
        <v>5469</v>
      </c>
      <c r="D13" s="229" t="s">
        <v>86</v>
      </c>
      <c r="E13" s="133"/>
      <c r="F13" s="230">
        <v>3</v>
      </c>
      <c r="G13" s="232">
        <f t="shared" si="2"/>
        <v>1771756.5846160983</v>
      </c>
      <c r="H13" s="232">
        <f t="shared" si="0"/>
        <v>0</v>
      </c>
      <c r="I13" s="232">
        <f t="shared" si="3"/>
        <v>1448869.7350273759</v>
      </c>
      <c r="J13" s="232">
        <f t="shared" si="4"/>
        <v>18319045.344430782</v>
      </c>
      <c r="K13" s="232">
        <f t="shared" si="5"/>
        <v>2529441.8071187614</v>
      </c>
      <c r="L13" s="280">
        <f t="shared" si="6"/>
        <v>6475785.4092499763</v>
      </c>
      <c r="M13" s="231"/>
      <c r="N13" s="231"/>
      <c r="O13" s="232">
        <f t="shared" si="1"/>
        <v>19044762.626918525</v>
      </c>
      <c r="P13" s="133"/>
    </row>
    <row r="14" spans="1:16">
      <c r="A14" s="133"/>
      <c r="B14" s="131" t="s">
        <v>96</v>
      </c>
      <c r="C14" s="234">
        <f>(C11+C12+C13-C18*C15)*(1-C52)</f>
        <v>31719</v>
      </c>
      <c r="D14" s="229" t="s">
        <v>86</v>
      </c>
      <c r="E14" s="133"/>
      <c r="F14" s="230">
        <v>4</v>
      </c>
      <c r="G14" s="232">
        <f t="shared" si="2"/>
        <v>1771756.5846160983</v>
      </c>
      <c r="H14" s="232">
        <f t="shared" si="0"/>
        <v>0</v>
      </c>
      <c r="I14" s="232">
        <f t="shared" si="3"/>
        <v>1448869.7350273759</v>
      </c>
      <c r="J14" s="232">
        <f t="shared" si="4"/>
        <v>18319045.344430782</v>
      </c>
      <c r="K14" s="232">
        <f t="shared" si="5"/>
        <v>2529441.8071187614</v>
      </c>
      <c r="L14" s="280">
        <f t="shared" si="6"/>
        <v>6475785.4092499763</v>
      </c>
      <c r="M14" s="231"/>
      <c r="N14" s="231"/>
      <c r="O14" s="232">
        <f t="shared" si="1"/>
        <v>19044762.626918525</v>
      </c>
      <c r="P14" s="133"/>
    </row>
    <row r="15" spans="1:16">
      <c r="A15" s="133"/>
      <c r="B15" s="131" t="s">
        <v>213</v>
      </c>
      <c r="C15" s="234">
        <f>'Sc3 Deep-CBA'!C15</f>
        <v>3</v>
      </c>
      <c r="D15" s="229" t="s">
        <v>214</v>
      </c>
      <c r="E15" s="133"/>
      <c r="F15" s="230">
        <v>5</v>
      </c>
      <c r="G15" s="232">
        <f t="shared" si="2"/>
        <v>1771756.5846160983</v>
      </c>
      <c r="H15" s="232">
        <f t="shared" si="0"/>
        <v>0</v>
      </c>
      <c r="I15" s="232">
        <f t="shared" si="3"/>
        <v>1448869.7350273759</v>
      </c>
      <c r="J15" s="232">
        <f t="shared" si="4"/>
        <v>18319045.344430782</v>
      </c>
      <c r="K15" s="232">
        <f t="shared" si="5"/>
        <v>2529441.8071187614</v>
      </c>
      <c r="L15" s="280">
        <f t="shared" si="6"/>
        <v>6475785.4092499763</v>
      </c>
      <c r="M15" s="231"/>
      <c r="N15" s="231"/>
      <c r="O15" s="232">
        <f t="shared" si="1"/>
        <v>19044762.626918525</v>
      </c>
      <c r="P15" s="133"/>
    </row>
    <row r="16" spans="1:16">
      <c r="A16" s="133"/>
      <c r="B16" s="131" t="s">
        <v>215</v>
      </c>
      <c r="C16" s="105">
        <f>'Sc3 Deep-CBA'!C16</f>
        <v>1300</v>
      </c>
      <c r="D16" s="229" t="s">
        <v>216</v>
      </c>
      <c r="E16" s="133"/>
      <c r="F16" s="230">
        <v>6</v>
      </c>
      <c r="G16" s="232">
        <f t="shared" si="2"/>
        <v>1771756.5846160983</v>
      </c>
      <c r="H16" s="232">
        <f t="shared" si="0"/>
        <v>0</v>
      </c>
      <c r="I16" s="232">
        <f t="shared" si="3"/>
        <v>1448869.7350273759</v>
      </c>
      <c r="J16" s="232">
        <f t="shared" si="4"/>
        <v>18319045.344430782</v>
      </c>
      <c r="K16" s="232">
        <f t="shared" si="5"/>
        <v>2529441.8071187614</v>
      </c>
      <c r="L16" s="280">
        <f t="shared" si="6"/>
        <v>6475785.4092499763</v>
      </c>
      <c r="M16" s="231"/>
      <c r="N16" s="231"/>
      <c r="O16" s="232">
        <f t="shared" si="1"/>
        <v>19044762.626918525</v>
      </c>
      <c r="P16" s="133"/>
    </row>
    <row r="17" spans="2:15">
      <c r="B17" s="131" t="s">
        <v>217</v>
      </c>
      <c r="C17" s="105">
        <f>C16*(1+C54)</f>
        <v>1573</v>
      </c>
      <c r="D17" s="229" t="s">
        <v>216</v>
      </c>
      <c r="E17" s="133"/>
      <c r="F17" s="230">
        <v>7</v>
      </c>
      <c r="G17" s="232">
        <f t="shared" si="2"/>
        <v>1771756.5846160983</v>
      </c>
      <c r="H17" s="232">
        <f t="shared" si="0"/>
        <v>0</v>
      </c>
      <c r="I17" s="232">
        <f t="shared" si="3"/>
        <v>1448869.7350273759</v>
      </c>
      <c r="J17" s="232">
        <f t="shared" si="4"/>
        <v>18319045.344430782</v>
      </c>
      <c r="K17" s="232">
        <f t="shared" si="5"/>
        <v>2529441.8071187614</v>
      </c>
      <c r="L17" s="280">
        <f t="shared" si="6"/>
        <v>6475785.4092499763</v>
      </c>
      <c r="M17" s="231"/>
      <c r="N17" s="231"/>
      <c r="O17" s="232">
        <f t="shared" si="1"/>
        <v>19044762.626918525</v>
      </c>
    </row>
    <row r="18" spans="2:15">
      <c r="B18" s="103" t="str">
        <f>'Sc3 Deep-CBA'!B18</f>
        <v>Cost of grid update/connection</v>
      </c>
      <c r="C18" s="105">
        <f>'Sc3 Deep-CBA'!C18</f>
        <v>250</v>
      </c>
      <c r="D18" s="229"/>
      <c r="E18" s="133"/>
      <c r="F18" s="230">
        <v>8</v>
      </c>
      <c r="G18" s="232">
        <f t="shared" si="2"/>
        <v>1771756.5846160983</v>
      </c>
      <c r="H18" s="232">
        <f t="shared" si="0"/>
        <v>0</v>
      </c>
      <c r="I18" s="232">
        <f t="shared" si="3"/>
        <v>1448869.7350273759</v>
      </c>
      <c r="J18" s="232">
        <f t="shared" si="4"/>
        <v>18319045.344430782</v>
      </c>
      <c r="K18" s="232">
        <f t="shared" si="5"/>
        <v>2529441.8071187614</v>
      </c>
      <c r="L18" s="280">
        <f t="shared" si="6"/>
        <v>6475785.4092499763</v>
      </c>
      <c r="M18" s="231"/>
      <c r="N18" s="231"/>
      <c r="O18" s="232">
        <f t="shared" ref="O18:O35" si="7">(H18+J18+L18+N18)-(G18+I18+K18+M18)</f>
        <v>19044762.626918525</v>
      </c>
    </row>
    <row r="19" spans="2:15">
      <c r="B19" s="131" t="s">
        <v>232</v>
      </c>
      <c r="C19" s="166">
        <v>0.15</v>
      </c>
      <c r="D19" s="229" t="s">
        <v>104</v>
      </c>
      <c r="E19" s="133"/>
      <c r="F19" s="230">
        <v>9</v>
      </c>
      <c r="G19" s="232">
        <f t="shared" si="2"/>
        <v>1771756.5846160983</v>
      </c>
      <c r="H19" s="232">
        <f t="shared" si="0"/>
        <v>0</v>
      </c>
      <c r="I19" s="232">
        <f t="shared" si="3"/>
        <v>1448869.7350273759</v>
      </c>
      <c r="J19" s="232">
        <f t="shared" si="4"/>
        <v>18319045.344430782</v>
      </c>
      <c r="K19" s="232">
        <f t="shared" si="5"/>
        <v>2529441.8071187614</v>
      </c>
      <c r="L19" s="280">
        <f t="shared" si="6"/>
        <v>6475785.4092499763</v>
      </c>
      <c r="M19" s="231"/>
      <c r="N19" s="231"/>
      <c r="O19" s="232">
        <f t="shared" si="7"/>
        <v>19044762.626918525</v>
      </c>
    </row>
    <row r="20" spans="2:15">
      <c r="B20" s="131" t="s">
        <v>151</v>
      </c>
      <c r="C20" s="235">
        <f>C9/C14</f>
        <v>21438.254673854786</v>
      </c>
      <c r="D20" s="229" t="s">
        <v>194</v>
      </c>
      <c r="E20" s="133"/>
      <c r="F20" s="230">
        <v>10</v>
      </c>
      <c r="G20" s="232">
        <f t="shared" si="2"/>
        <v>1771756.5846160983</v>
      </c>
      <c r="H20" s="232">
        <f t="shared" si="0"/>
        <v>0</v>
      </c>
      <c r="I20" s="232">
        <f t="shared" si="3"/>
        <v>1448869.7350273759</v>
      </c>
      <c r="J20" s="232">
        <f t="shared" si="4"/>
        <v>18319045.344430782</v>
      </c>
      <c r="K20" s="232">
        <f t="shared" si="5"/>
        <v>2529441.8071187614</v>
      </c>
      <c r="L20" s="280">
        <f t="shared" si="6"/>
        <v>6475785.4092499763</v>
      </c>
      <c r="M20" s="231"/>
      <c r="N20" s="231"/>
      <c r="O20" s="232">
        <f t="shared" si="7"/>
        <v>19044762.626918525</v>
      </c>
    </row>
    <row r="21" spans="2:15">
      <c r="B21" s="131" t="s">
        <v>219</v>
      </c>
      <c r="C21" s="235">
        <f>'Sc0-CBA'!C14</f>
        <v>104</v>
      </c>
      <c r="D21" s="229" t="s">
        <v>101</v>
      </c>
      <c r="E21" s="133"/>
      <c r="F21" s="230">
        <v>11</v>
      </c>
      <c r="G21" s="232">
        <f t="shared" si="2"/>
        <v>1771756.5846160983</v>
      </c>
      <c r="H21" s="232">
        <f t="shared" si="0"/>
        <v>0</v>
      </c>
      <c r="I21" s="232">
        <f t="shared" si="3"/>
        <v>1448869.7350273759</v>
      </c>
      <c r="J21" s="232">
        <f t="shared" si="4"/>
        <v>18319045.344430782</v>
      </c>
      <c r="K21" s="232">
        <f t="shared" si="5"/>
        <v>2529441.8071187614</v>
      </c>
      <c r="L21" s="280">
        <f t="shared" si="6"/>
        <v>6475785.4092499763</v>
      </c>
      <c r="M21" s="231"/>
      <c r="N21" s="231"/>
      <c r="O21" s="232">
        <f t="shared" si="7"/>
        <v>19044762.626918525</v>
      </c>
    </row>
    <row r="22" spans="2:15">
      <c r="B22" s="131" t="s">
        <v>220</v>
      </c>
      <c r="C22" s="235">
        <f>'Sc0-CBA'!C15</f>
        <v>4070</v>
      </c>
      <c r="D22" s="229" t="s">
        <v>101</v>
      </c>
      <c r="E22" s="133"/>
      <c r="F22" s="230">
        <v>12</v>
      </c>
      <c r="G22" s="232">
        <f t="shared" si="2"/>
        <v>1771756.5846160983</v>
      </c>
      <c r="H22" s="232">
        <f t="shared" si="0"/>
        <v>0</v>
      </c>
      <c r="I22" s="232">
        <f t="shared" si="3"/>
        <v>1448869.7350273759</v>
      </c>
      <c r="J22" s="232">
        <f t="shared" si="4"/>
        <v>18319045.344430782</v>
      </c>
      <c r="K22" s="232">
        <f t="shared" si="5"/>
        <v>2529441.8071187614</v>
      </c>
      <c r="L22" s="280">
        <f t="shared" si="6"/>
        <v>6475785.4092499763</v>
      </c>
      <c r="M22" s="231"/>
      <c r="N22" s="231"/>
      <c r="O22" s="232">
        <f t="shared" si="7"/>
        <v>19044762.626918525</v>
      </c>
    </row>
    <row r="23" spans="2:15">
      <c r="B23" s="103" t="str">
        <f>'Sc0-CBA'!B17</f>
        <v>Degree of efficiency of existing natural gas boiler</v>
      </c>
      <c r="C23" s="279">
        <f>'Sc2-CBA'!C17</f>
        <v>0.85</v>
      </c>
      <c r="D23" s="229" t="s">
        <v>104</v>
      </c>
      <c r="E23" s="133"/>
      <c r="F23" s="230">
        <v>13</v>
      </c>
      <c r="G23" s="232">
        <f t="shared" si="2"/>
        <v>1771756.5846160983</v>
      </c>
      <c r="H23" s="232">
        <f t="shared" si="0"/>
        <v>0</v>
      </c>
      <c r="I23" s="232">
        <f t="shared" si="3"/>
        <v>1448869.7350273759</v>
      </c>
      <c r="J23" s="232">
        <f t="shared" si="4"/>
        <v>18319045.344430782</v>
      </c>
      <c r="K23" s="232">
        <f t="shared" si="5"/>
        <v>2529441.8071187614</v>
      </c>
      <c r="L23" s="280">
        <f t="shared" si="6"/>
        <v>6475785.4092499763</v>
      </c>
      <c r="M23" s="231"/>
      <c r="N23" s="231"/>
      <c r="O23" s="232">
        <f t="shared" si="7"/>
        <v>19044762.626918525</v>
      </c>
    </row>
    <row r="24" spans="2:15">
      <c r="B24" s="131" t="s">
        <v>221</v>
      </c>
      <c r="C24" s="235">
        <f>'Sc2-CBA'!C21</f>
        <v>3</v>
      </c>
      <c r="D24" s="229"/>
      <c r="E24" s="133"/>
      <c r="F24" s="230">
        <v>14</v>
      </c>
      <c r="G24" s="232">
        <f t="shared" si="2"/>
        <v>1771756.5846160983</v>
      </c>
      <c r="H24" s="232">
        <f t="shared" si="0"/>
        <v>0</v>
      </c>
      <c r="I24" s="232">
        <f t="shared" si="3"/>
        <v>1448869.7350273759</v>
      </c>
      <c r="J24" s="232">
        <f t="shared" si="4"/>
        <v>18319045.344430782</v>
      </c>
      <c r="K24" s="232">
        <f t="shared" si="5"/>
        <v>2529441.8071187614</v>
      </c>
      <c r="L24" s="280">
        <f t="shared" si="6"/>
        <v>6475785.4092499763</v>
      </c>
      <c r="M24" s="231"/>
      <c r="N24" s="231"/>
      <c r="O24" s="232">
        <f t="shared" si="7"/>
        <v>19044762.626918525</v>
      </c>
    </row>
    <row r="25" spans="2:15">
      <c r="B25" s="131" t="s">
        <v>125</v>
      </c>
      <c r="C25" s="279">
        <f>'Sc1 Deep-CBA'!C16</f>
        <v>0.69</v>
      </c>
      <c r="D25" s="229" t="s">
        <v>104</v>
      </c>
      <c r="E25" s="133"/>
      <c r="F25" s="230">
        <v>15</v>
      </c>
      <c r="G25" s="232">
        <f t="shared" si="2"/>
        <v>1771756.5846160983</v>
      </c>
      <c r="H25" s="232">
        <f t="shared" si="0"/>
        <v>0</v>
      </c>
      <c r="I25" s="232">
        <f t="shared" si="3"/>
        <v>1448869.7350273759</v>
      </c>
      <c r="J25" s="232">
        <f t="shared" si="4"/>
        <v>18319045.344430782</v>
      </c>
      <c r="K25" s="232">
        <f t="shared" si="5"/>
        <v>2529441.8071187614</v>
      </c>
      <c r="L25" s="280">
        <f t="shared" si="6"/>
        <v>6475785.4092499763</v>
      </c>
      <c r="M25" s="231"/>
      <c r="N25" s="231"/>
      <c r="O25" s="232">
        <f t="shared" si="7"/>
        <v>19044762.626918525</v>
      </c>
    </row>
    <row r="26" spans="2:15">
      <c r="B26" s="131" t="s">
        <v>127</v>
      </c>
      <c r="C26" s="279">
        <f>'Sc1 Deep-CBA'!C17</f>
        <v>0.69</v>
      </c>
      <c r="D26" s="229" t="s">
        <v>104</v>
      </c>
      <c r="E26" s="133"/>
      <c r="F26" s="230">
        <v>16</v>
      </c>
      <c r="G26" s="232">
        <f t="shared" si="2"/>
        <v>1771756.5846160983</v>
      </c>
      <c r="H26" s="232">
        <f t="shared" si="0"/>
        <v>0</v>
      </c>
      <c r="I26" s="232">
        <f t="shared" si="3"/>
        <v>1448869.7350273759</v>
      </c>
      <c r="J26" s="232">
        <f t="shared" si="4"/>
        <v>18319045.344430782</v>
      </c>
      <c r="K26" s="232">
        <f t="shared" si="5"/>
        <v>2529441.8071187614</v>
      </c>
      <c r="L26" s="280">
        <f t="shared" si="6"/>
        <v>6475785.4092499763</v>
      </c>
      <c r="M26" s="231"/>
      <c r="N26" s="231"/>
      <c r="O26" s="232">
        <f t="shared" si="7"/>
        <v>19044762.626918525</v>
      </c>
    </row>
    <row r="27" spans="2:15">
      <c r="B27" s="131" t="s">
        <v>154</v>
      </c>
      <c r="C27" s="235">
        <f>C21*C25</f>
        <v>71.759999999999991</v>
      </c>
      <c r="D27" s="229" t="s">
        <v>101</v>
      </c>
      <c r="E27" s="133"/>
      <c r="F27" s="230">
        <v>17</v>
      </c>
      <c r="G27" s="232">
        <f t="shared" si="2"/>
        <v>1771756.5846160983</v>
      </c>
      <c r="H27" s="232">
        <f t="shared" si="0"/>
        <v>0</v>
      </c>
      <c r="I27" s="232">
        <f t="shared" si="3"/>
        <v>1448869.7350273759</v>
      </c>
      <c r="J27" s="232">
        <f t="shared" si="4"/>
        <v>18319045.344430782</v>
      </c>
      <c r="K27" s="232">
        <f t="shared" si="5"/>
        <v>2529441.8071187614</v>
      </c>
      <c r="L27" s="280">
        <f t="shared" si="6"/>
        <v>6475785.4092499763</v>
      </c>
      <c r="M27" s="231"/>
      <c r="N27" s="231"/>
      <c r="O27" s="232">
        <f t="shared" si="7"/>
        <v>19044762.626918525</v>
      </c>
    </row>
    <row r="28" spans="2:15">
      <c r="B28" s="131" t="s">
        <v>155</v>
      </c>
      <c r="C28" s="235">
        <f>C22*C26</f>
        <v>2808.2999999999997</v>
      </c>
      <c r="D28" s="229" t="s">
        <v>101</v>
      </c>
      <c r="E28" s="133"/>
      <c r="F28" s="230">
        <v>18</v>
      </c>
      <c r="G28" s="232">
        <f t="shared" si="2"/>
        <v>1771756.5846160983</v>
      </c>
      <c r="H28" s="232">
        <f t="shared" si="0"/>
        <v>0</v>
      </c>
      <c r="I28" s="232">
        <f t="shared" si="3"/>
        <v>1448869.7350273759</v>
      </c>
      <c r="J28" s="232">
        <f t="shared" si="4"/>
        <v>18319045.344430782</v>
      </c>
      <c r="K28" s="232">
        <f t="shared" si="5"/>
        <v>2529441.8071187614</v>
      </c>
      <c r="L28" s="280">
        <f t="shared" si="6"/>
        <v>6475785.4092499763</v>
      </c>
      <c r="M28" s="231"/>
      <c r="N28" s="231"/>
      <c r="O28" s="232">
        <f t="shared" si="7"/>
        <v>19044762.626918525</v>
      </c>
    </row>
    <row r="29" spans="2:15">
      <c r="B29" s="131" t="s">
        <v>222</v>
      </c>
      <c r="C29" s="234">
        <f>'Sc3 Deep-CBA'!C28</f>
        <v>3929.64</v>
      </c>
      <c r="D29" s="229" t="s">
        <v>101</v>
      </c>
      <c r="E29" s="133"/>
      <c r="F29" s="230">
        <v>19</v>
      </c>
      <c r="G29" s="232">
        <f t="shared" si="2"/>
        <v>1771756.5846160983</v>
      </c>
      <c r="H29" s="232">
        <f t="shared" si="0"/>
        <v>0</v>
      </c>
      <c r="I29" s="232">
        <f t="shared" si="3"/>
        <v>1448869.7350273759</v>
      </c>
      <c r="J29" s="232">
        <f t="shared" si="4"/>
        <v>18319045.344430782</v>
      </c>
      <c r="K29" s="232">
        <f t="shared" si="5"/>
        <v>2529441.8071187614</v>
      </c>
      <c r="L29" s="280">
        <f t="shared" si="6"/>
        <v>6475785.4092499763</v>
      </c>
      <c r="M29" s="231"/>
      <c r="N29" s="231"/>
      <c r="O29" s="232">
        <f t="shared" si="7"/>
        <v>19044762.626918525</v>
      </c>
    </row>
    <row r="30" spans="2:15">
      <c r="B30" s="131" t="s">
        <v>223</v>
      </c>
      <c r="C30" s="234">
        <f>C29+C21*(1-C25)+(C22-C28)/C24</f>
        <v>4382.4466666666667</v>
      </c>
      <c r="D30" s="229" t="s">
        <v>101</v>
      </c>
      <c r="E30" s="133"/>
      <c r="F30" s="230">
        <v>20</v>
      </c>
      <c r="G30" s="232">
        <f t="shared" si="2"/>
        <v>1771756.5846160983</v>
      </c>
      <c r="H30" s="232">
        <f t="shared" si="0"/>
        <v>0</v>
      </c>
      <c r="I30" s="232">
        <f t="shared" si="3"/>
        <v>1448869.7350273759</v>
      </c>
      <c r="J30" s="232">
        <f t="shared" si="4"/>
        <v>18319045.344430782</v>
      </c>
      <c r="K30" s="232">
        <f t="shared" si="5"/>
        <v>2529441.8071187614</v>
      </c>
      <c r="L30" s="280">
        <f t="shared" si="6"/>
        <v>6475785.4092499763</v>
      </c>
      <c r="M30" s="231"/>
      <c r="N30" s="231"/>
      <c r="O30" s="232">
        <f t="shared" si="7"/>
        <v>19044762.626918525</v>
      </c>
    </row>
    <row r="31" spans="2:15">
      <c r="B31" s="131" t="s">
        <v>113</v>
      </c>
      <c r="C31" s="237">
        <f>'Energy prices'!$D$6/1000</f>
        <v>0.21199999999999999</v>
      </c>
      <c r="D31" s="229" t="s">
        <v>114</v>
      </c>
      <c r="E31" s="133"/>
      <c r="F31" s="230">
        <v>21</v>
      </c>
      <c r="G31" s="232">
        <f t="shared" si="2"/>
        <v>1771756.5846160983</v>
      </c>
      <c r="H31" s="232">
        <f t="shared" si="0"/>
        <v>0</v>
      </c>
      <c r="I31" s="232">
        <f t="shared" si="3"/>
        <v>1448869.7350273759</v>
      </c>
      <c r="J31" s="232">
        <f t="shared" si="4"/>
        <v>18319045.344430782</v>
      </c>
      <c r="K31" s="232">
        <f t="shared" si="5"/>
        <v>2529441.8071187614</v>
      </c>
      <c r="L31" s="280">
        <f t="shared" si="6"/>
        <v>6475785.4092499763</v>
      </c>
      <c r="M31" s="231"/>
      <c r="N31" s="231"/>
      <c r="O31" s="232">
        <f t="shared" si="7"/>
        <v>19044762.626918525</v>
      </c>
    </row>
    <row r="32" spans="2:15">
      <c r="B32" s="131" t="s">
        <v>224</v>
      </c>
      <c r="C32" s="275">
        <v>0.5</v>
      </c>
      <c r="D32" s="229" t="s">
        <v>104</v>
      </c>
      <c r="E32" s="133"/>
      <c r="F32" s="230">
        <v>22</v>
      </c>
      <c r="G32" s="232">
        <f t="shared" si="2"/>
        <v>1771756.5846160983</v>
      </c>
      <c r="H32" s="232">
        <f t="shared" si="0"/>
        <v>0</v>
      </c>
      <c r="I32" s="232">
        <f t="shared" si="3"/>
        <v>1448869.7350273759</v>
      </c>
      <c r="J32" s="232">
        <f t="shared" si="4"/>
        <v>18319045.344430782</v>
      </c>
      <c r="K32" s="232">
        <f t="shared" si="5"/>
        <v>2529441.8071187614</v>
      </c>
      <c r="L32" s="280">
        <f t="shared" si="6"/>
        <v>6475785.4092499763</v>
      </c>
      <c r="M32" s="231"/>
      <c r="N32" s="231"/>
      <c r="O32" s="232">
        <f t="shared" si="7"/>
        <v>19044762.626918525</v>
      </c>
    </row>
    <row r="33" spans="2:15">
      <c r="B33" s="131" t="s">
        <v>225</v>
      </c>
      <c r="C33" s="110">
        <f>C31*C32</f>
        <v>0.106</v>
      </c>
      <c r="D33" s="229" t="s">
        <v>114</v>
      </c>
      <c r="E33" s="133"/>
      <c r="F33" s="230">
        <v>23</v>
      </c>
      <c r="G33" s="232">
        <f t="shared" si="2"/>
        <v>1771756.5846160983</v>
      </c>
      <c r="H33" s="232">
        <f t="shared" si="0"/>
        <v>0</v>
      </c>
      <c r="I33" s="232">
        <f t="shared" si="3"/>
        <v>1448869.7350273759</v>
      </c>
      <c r="J33" s="232">
        <f t="shared" si="4"/>
        <v>18319045.344430782</v>
      </c>
      <c r="K33" s="232">
        <f t="shared" si="5"/>
        <v>2529441.8071187614</v>
      </c>
      <c r="L33" s="280">
        <f t="shared" si="6"/>
        <v>6475785.4092499763</v>
      </c>
      <c r="M33" s="231"/>
      <c r="N33" s="231"/>
      <c r="O33" s="232">
        <f t="shared" si="7"/>
        <v>19044762.626918525</v>
      </c>
    </row>
    <row r="34" spans="2:15">
      <c r="B34" s="103" t="str">
        <f>'Sc0-SCBA'!B25</f>
        <v>Natural gas price</v>
      </c>
      <c r="C34" s="107">
        <f>'Sc0-SCBA'!C25</f>
        <v>9.4E-2</v>
      </c>
      <c r="D34" s="229" t="s">
        <v>114</v>
      </c>
      <c r="E34" s="133"/>
      <c r="F34" s="230">
        <v>24</v>
      </c>
      <c r="G34" s="232">
        <f t="shared" si="2"/>
        <v>1771756.5846160983</v>
      </c>
      <c r="H34" s="232">
        <f t="shared" si="0"/>
        <v>0</v>
      </c>
      <c r="I34" s="232">
        <f t="shared" si="3"/>
        <v>1448869.7350273759</v>
      </c>
      <c r="J34" s="232">
        <f t="shared" si="4"/>
        <v>18319045.344430782</v>
      </c>
      <c r="K34" s="232">
        <f t="shared" si="5"/>
        <v>2529441.8071187614</v>
      </c>
      <c r="L34" s="280">
        <f t="shared" si="6"/>
        <v>6475785.4092499763</v>
      </c>
      <c r="M34" s="231"/>
      <c r="N34" s="231"/>
      <c r="O34" s="232">
        <f t="shared" si="7"/>
        <v>19044762.626918525</v>
      </c>
    </row>
    <row r="35" spans="2:15">
      <c r="B35" s="131" t="s">
        <v>118</v>
      </c>
      <c r="C35" s="238">
        <v>0</v>
      </c>
      <c r="D35" s="229" t="s">
        <v>86</v>
      </c>
      <c r="E35" s="133"/>
      <c r="F35" s="230">
        <v>25</v>
      </c>
      <c r="G35" s="232">
        <f t="shared" si="2"/>
        <v>1771756.5846160983</v>
      </c>
      <c r="H35" s="232">
        <f t="shared" si="0"/>
        <v>0</v>
      </c>
      <c r="I35" s="232">
        <f t="shared" si="3"/>
        <v>1448869.7350273759</v>
      </c>
      <c r="J35" s="232">
        <f t="shared" si="4"/>
        <v>18319045.344430782</v>
      </c>
      <c r="K35" s="232">
        <f t="shared" si="5"/>
        <v>2529441.8071187614</v>
      </c>
      <c r="L35" s="280">
        <f t="shared" si="6"/>
        <v>6475785.4092499763</v>
      </c>
      <c r="M35" s="231"/>
      <c r="N35" s="232">
        <f>C9*C37</f>
        <v>68000000</v>
      </c>
      <c r="O35" s="232">
        <f t="shared" si="7"/>
        <v>87044762.626918525</v>
      </c>
    </row>
    <row r="36" spans="2:15">
      <c r="B36" s="131" t="s">
        <v>119</v>
      </c>
      <c r="C36" s="238">
        <v>100</v>
      </c>
      <c r="D36" s="229" t="s">
        <v>86</v>
      </c>
      <c r="E36" s="133"/>
      <c r="F36" s="134" t="s">
        <v>116</v>
      </c>
      <c r="G36" s="98">
        <f>NPV($C$38,G11:G35)+G10</f>
        <v>30851859.080914434</v>
      </c>
      <c r="H36" s="98">
        <f>NPV($C$38,H11:H35)+H10</f>
        <v>0</v>
      </c>
      <c r="I36" s="98">
        <f>NPV($C$38,I11:I35)+I10</f>
        <v>25229382.681454536</v>
      </c>
      <c r="J36" s="98">
        <f>NPV($C$38,J11:J35)+J10</f>
        <v>318992242.14579207</v>
      </c>
      <c r="K36" s="98">
        <f>NPV($C$38,K11:K35)+K10</f>
        <v>44045543.763852149</v>
      </c>
      <c r="L36" s="98">
        <f>NPV($C$35,L11:L35)+L10</f>
        <v>665175269.39082623</v>
      </c>
      <c r="M36" s="98">
        <f>NPV($C$38,M11:M35)+M10</f>
        <v>637123490.65229046</v>
      </c>
      <c r="N36" s="98">
        <f>NPV($C$38,N11:N35)+N10</f>
        <v>66019417.475728154</v>
      </c>
      <c r="O36" s="98">
        <f>NPV($C$38,O11:O35)+O10</f>
        <v>230263586.58494323</v>
      </c>
    </row>
    <row r="37" spans="2:15">
      <c r="B37" s="131" t="s">
        <v>93</v>
      </c>
      <c r="C37" s="239">
        <v>0.1</v>
      </c>
      <c r="D37" s="229" t="s">
        <v>120</v>
      </c>
      <c r="E37" s="133"/>
      <c r="F37" s="133"/>
      <c r="G37" s="133"/>
      <c r="H37" s="133"/>
      <c r="I37" s="133"/>
      <c r="J37" s="133"/>
      <c r="K37" s="133"/>
      <c r="L37" s="133"/>
      <c r="M37" s="133"/>
      <c r="N37" s="133"/>
      <c r="O37" s="133"/>
    </row>
    <row r="38" spans="2:15">
      <c r="B38" s="131" t="s">
        <v>121</v>
      </c>
      <c r="C38" s="239">
        <v>0.03</v>
      </c>
      <c r="D38" s="229" t="s">
        <v>104</v>
      </c>
      <c r="E38" s="133"/>
      <c r="F38" s="133"/>
      <c r="G38" s="133"/>
      <c r="H38" s="133"/>
      <c r="I38" s="133"/>
      <c r="J38" s="133"/>
      <c r="K38" s="133"/>
      <c r="L38" s="133"/>
      <c r="M38" s="133"/>
      <c r="N38" s="133"/>
      <c r="O38" s="133"/>
    </row>
    <row r="39" spans="2:15">
      <c r="B39" s="131" t="s">
        <v>227</v>
      </c>
      <c r="C39" s="241">
        <f>'Sc0-CBA'!C16</f>
        <v>0.95</v>
      </c>
      <c r="D39" s="257" t="s">
        <v>104</v>
      </c>
      <c r="E39" s="133"/>
      <c r="F39" s="133"/>
      <c r="G39" s="133"/>
      <c r="H39" s="133"/>
      <c r="I39" s="133"/>
      <c r="J39" s="133"/>
      <c r="K39" s="133"/>
      <c r="L39" s="133"/>
      <c r="M39" s="133"/>
      <c r="N39" s="133"/>
      <c r="O39" s="133"/>
    </row>
    <row r="40" spans="2:15">
      <c r="B40" s="103" t="str">
        <f>'Sc0-CBA'!B19</f>
        <v>Degree of efficiency of petroleum boiler</v>
      </c>
      <c r="C40" s="241">
        <f>'Sc0-CBA'!C19</f>
        <v>0.8</v>
      </c>
      <c r="D40" s="257" t="s">
        <v>104</v>
      </c>
      <c r="E40" s="133"/>
      <c r="F40" s="133"/>
      <c r="G40" s="133"/>
      <c r="H40" s="133"/>
      <c r="I40" s="133"/>
      <c r="J40" s="133"/>
      <c r="K40" s="133"/>
      <c r="L40" s="133"/>
      <c r="M40" s="133"/>
      <c r="N40" s="133"/>
      <c r="O40" s="133"/>
    </row>
    <row r="41" spans="2:15">
      <c r="B41" s="131" t="s">
        <v>108</v>
      </c>
      <c r="C41" s="241">
        <f>'Sc0-CBA'!C20</f>
        <v>0.3</v>
      </c>
      <c r="D41" s="257" t="s">
        <v>104</v>
      </c>
      <c r="E41" s="133"/>
      <c r="F41" s="133"/>
      <c r="G41" s="133"/>
      <c r="H41" s="104" t="str">
        <f>'Sc0-CBA'!G32</f>
        <v>Fuel share per households in the region</v>
      </c>
      <c r="I41" s="242"/>
      <c r="J41" s="133"/>
      <c r="K41" s="133"/>
      <c r="L41" s="133"/>
      <c r="M41" s="133"/>
      <c r="N41" s="133"/>
      <c r="O41" s="133"/>
    </row>
    <row r="42" spans="2:15">
      <c r="B42" s="103" t="str">
        <f>'Sc0-CBA'!B21</f>
        <v>Degree of efficiency of electric boiler</v>
      </c>
      <c r="C42" s="241">
        <f>'Sc0-CBA'!C21</f>
        <v>1</v>
      </c>
      <c r="D42" s="257" t="s">
        <v>104</v>
      </c>
      <c r="E42" s="133"/>
      <c r="F42" s="133"/>
      <c r="G42" s="133"/>
      <c r="H42" s="160"/>
      <c r="I42" s="242"/>
      <c r="J42" s="133"/>
      <c r="K42" s="133"/>
      <c r="L42" s="133"/>
      <c r="M42" s="133"/>
      <c r="N42" s="133"/>
      <c r="O42" s="133"/>
    </row>
    <row r="43" spans="2:15">
      <c r="B43" s="103" t="str">
        <f>'Sc0-CBA'!B27</f>
        <v>Petroleum price</v>
      </c>
      <c r="C43" s="243">
        <f>'Energy prices'!C7/1000</f>
        <v>0.11</v>
      </c>
      <c r="D43" s="229" t="s">
        <v>101</v>
      </c>
      <c r="E43" s="133"/>
      <c r="F43" s="133"/>
      <c r="G43" s="133"/>
      <c r="H43" s="244" t="str">
        <f>'Sc0-CBA'!G33</f>
        <v>Natural gas</v>
      </c>
      <c r="I43" s="247">
        <f>'Sc0-CBA'!H33</f>
        <v>0.48</v>
      </c>
      <c r="J43" s="133"/>
      <c r="K43" s="133"/>
      <c r="L43" s="133"/>
      <c r="M43" s="133"/>
      <c r="N43" s="133"/>
      <c r="O43" s="133"/>
    </row>
    <row r="44" spans="2:15">
      <c r="B44" s="131" t="s">
        <v>122</v>
      </c>
      <c r="C44" s="243">
        <f>'Energy prices'!C10/1000</f>
        <v>1.7000000000000001E-2</v>
      </c>
      <c r="D44" s="229" t="s">
        <v>101</v>
      </c>
      <c r="E44" s="133"/>
      <c r="F44" s="133"/>
      <c r="G44" s="133"/>
      <c r="H44" s="244" t="str">
        <f>'Sc0-CBA'!G34</f>
        <v>Petroleum derivatives</v>
      </c>
      <c r="I44" s="247">
        <f>'Sc0-CBA'!H34</f>
        <v>0.2</v>
      </c>
      <c r="J44" s="133"/>
      <c r="K44" s="133"/>
      <c r="L44" s="133"/>
      <c r="M44" s="133"/>
      <c r="N44" s="133"/>
      <c r="O44" s="133"/>
    </row>
    <row r="45" spans="2:15">
      <c r="B45" s="155"/>
      <c r="C45" s="281"/>
      <c r="D45" s="249"/>
      <c r="E45" s="133"/>
      <c r="F45" s="133"/>
      <c r="G45" s="133"/>
      <c r="H45" s="246" t="s">
        <v>128</v>
      </c>
      <c r="I45" s="247">
        <f>'Sc0-CBA'!H35</f>
        <v>0.19</v>
      </c>
      <c r="J45" s="133"/>
      <c r="K45" s="133"/>
      <c r="L45" s="133"/>
      <c r="M45" s="133"/>
      <c r="N45" s="133"/>
      <c r="O45" s="133"/>
    </row>
    <row r="46" spans="2:15">
      <c r="B46" s="133"/>
      <c r="C46" s="249"/>
      <c r="D46" s="133"/>
      <c r="E46" s="133"/>
      <c r="F46" s="133"/>
      <c r="G46" s="133"/>
      <c r="H46" s="246" t="s">
        <v>78</v>
      </c>
      <c r="I46" s="247">
        <f>'Sc0-CBA'!H36</f>
        <v>0</v>
      </c>
      <c r="J46" s="133"/>
      <c r="K46" s="133"/>
      <c r="L46" s="133"/>
      <c r="M46" s="133"/>
      <c r="N46" s="133"/>
      <c r="O46" s="133"/>
    </row>
    <row r="47" spans="2:15">
      <c r="B47" s="133"/>
      <c r="C47" s="249"/>
      <c r="D47" s="133"/>
      <c r="E47" s="133"/>
      <c r="F47" s="133"/>
      <c r="G47" s="133"/>
      <c r="H47" s="246" t="s">
        <v>81</v>
      </c>
      <c r="I47" s="247">
        <f>'Sc0-CBA'!H37</f>
        <v>0.12</v>
      </c>
      <c r="J47" s="133"/>
      <c r="K47" s="133"/>
      <c r="L47" s="133"/>
      <c r="M47" s="133"/>
      <c r="N47" s="133"/>
      <c r="O47" s="133"/>
    </row>
    <row r="48" spans="2:15">
      <c r="B48" s="135" t="s">
        <v>133</v>
      </c>
      <c r="C48" s="100">
        <f>NPV(C38,O11:O35)+O10</f>
        <v>230263586.58494323</v>
      </c>
      <c r="D48" s="133"/>
      <c r="E48" s="133"/>
      <c r="F48" s="133"/>
      <c r="G48" s="133"/>
      <c r="H48" s="246" t="s">
        <v>116</v>
      </c>
      <c r="I48" s="247">
        <f>SUM(I43:I47)</f>
        <v>0.98999999999999988</v>
      </c>
      <c r="J48" s="133"/>
      <c r="K48" s="133"/>
      <c r="L48" s="133"/>
      <c r="M48" s="133"/>
      <c r="N48" s="133"/>
      <c r="O48" s="133"/>
    </row>
    <row r="49" spans="2:4">
      <c r="B49" s="135" t="s">
        <v>134</v>
      </c>
      <c r="C49" s="101">
        <f>IRR(O10:O35)</f>
        <v>0.13956875464284391</v>
      </c>
      <c r="D49" s="133"/>
    </row>
    <row r="50" spans="2:4">
      <c r="B50" s="135" t="s">
        <v>135</v>
      </c>
      <c r="C50" s="102">
        <f>(H36+L36+J36+N36)/(G36+I36+K36+M36)</f>
        <v>1.4244646125545335</v>
      </c>
      <c r="D50" s="133"/>
    </row>
    <row r="52" spans="2:4">
      <c r="B52" s="131" t="s">
        <v>136</v>
      </c>
      <c r="C52" s="239">
        <v>0</v>
      </c>
      <c r="D52" s="229" t="s">
        <v>104</v>
      </c>
    </row>
    <row r="53" spans="2:4">
      <c r="B53" s="133"/>
      <c r="C53" s="133"/>
      <c r="D53" s="133"/>
    </row>
    <row r="54" spans="2:4">
      <c r="B54" s="152" t="s">
        <v>192</v>
      </c>
      <c r="C54" s="245">
        <f>'Sc0-SCBA'!C83</f>
        <v>0.21</v>
      </c>
      <c r="D54" s="133"/>
    </row>
    <row r="55" spans="2:4">
      <c r="B55" s="133"/>
      <c r="C55" s="133"/>
      <c r="D55" s="133"/>
    </row>
    <row r="60" spans="2:4">
      <c r="B60" s="131" t="s">
        <v>156</v>
      </c>
      <c r="C60" s="238">
        <v>1</v>
      </c>
      <c r="D60" s="229" t="s">
        <v>157</v>
      </c>
    </row>
    <row r="61" spans="2:4">
      <c r="B61" s="131" t="s">
        <v>158</v>
      </c>
      <c r="C61" s="258">
        <v>2</v>
      </c>
      <c r="D61" s="229" t="s">
        <v>159</v>
      </c>
    </row>
    <row r="62" spans="2:4">
      <c r="B62" s="131" t="s">
        <v>160</v>
      </c>
      <c r="C62" s="238">
        <v>0</v>
      </c>
      <c r="D62" s="259" t="s">
        <v>161</v>
      </c>
    </row>
    <row r="65" spans="2:3">
      <c r="B65" s="145" t="s">
        <v>162</v>
      </c>
      <c r="C65" s="249"/>
    </row>
    <row r="66" spans="2:3">
      <c r="B66" s="216" t="s">
        <v>163</v>
      </c>
      <c r="C66" s="146" t="s">
        <v>164</v>
      </c>
    </row>
    <row r="67" spans="2:3">
      <c r="B67" s="217"/>
      <c r="C67" s="146" t="s">
        <v>165</v>
      </c>
    </row>
    <row r="68" spans="2:3">
      <c r="B68" s="147" t="s">
        <v>166</v>
      </c>
      <c r="C68" s="260">
        <f>externalities!D25</f>
        <v>51</v>
      </c>
    </row>
    <row r="69" spans="2:3">
      <c r="B69" s="147" t="s">
        <v>167</v>
      </c>
      <c r="C69" s="260">
        <f>externalities!D27</f>
        <v>43.4</v>
      </c>
    </row>
    <row r="70" spans="2:3">
      <c r="B70" s="147" t="s">
        <v>168</v>
      </c>
      <c r="C70" s="260">
        <f>externalities!D22</f>
        <v>36</v>
      </c>
    </row>
    <row r="71" spans="2:3">
      <c r="B71" s="147" t="s">
        <v>169</v>
      </c>
      <c r="C71" s="260">
        <f>externalities!D24</f>
        <v>32.200000000000003</v>
      </c>
    </row>
    <row r="72" spans="2:3">
      <c r="B72" s="147" t="s">
        <v>170</v>
      </c>
      <c r="C72" s="260">
        <f>externalities!D17</f>
        <v>36</v>
      </c>
    </row>
    <row r="73" spans="2:3">
      <c r="B73" s="147" t="s">
        <v>171</v>
      </c>
      <c r="C73" s="260">
        <f>externalities!D16</f>
        <v>21.8</v>
      </c>
    </row>
    <row r="74" spans="2:3">
      <c r="B74" s="147" t="s">
        <v>172</v>
      </c>
      <c r="C74" s="260">
        <f>externalities!D19</f>
        <v>48.5</v>
      </c>
    </row>
    <row r="75" spans="2:3">
      <c r="B75" s="147" t="s">
        <v>173</v>
      </c>
      <c r="C75" s="260">
        <f>externalities!D35</f>
        <v>24</v>
      </c>
    </row>
    <row r="76" spans="2:3">
      <c r="B76" s="147" t="s">
        <v>174</v>
      </c>
      <c r="C76" s="260">
        <f>externalities!D31</f>
        <v>9.6</v>
      </c>
    </row>
    <row r="77" spans="2:3">
      <c r="B77" s="147" t="s">
        <v>233</v>
      </c>
      <c r="C77" s="260">
        <f>externalities!D32</f>
        <v>57</v>
      </c>
    </row>
    <row r="78" spans="2:3">
      <c r="B78" s="147" t="s">
        <v>234</v>
      </c>
      <c r="C78" s="260">
        <f>externalities!D34</f>
        <v>174</v>
      </c>
    </row>
    <row r="79" spans="2:3">
      <c r="B79" s="147" t="s">
        <v>175</v>
      </c>
      <c r="C79" s="260">
        <f>externalities!D19</f>
        <v>48.5</v>
      </c>
    </row>
    <row r="80" spans="2:3">
      <c r="B80" s="109" t="str">
        <f>'Sc0-SCBA'!B63</f>
        <v>District heating (lignite)</v>
      </c>
      <c r="C80" s="260">
        <f>externalities!D36</f>
        <v>58</v>
      </c>
    </row>
    <row r="82" spans="2:4">
      <c r="B82" s="145" t="s">
        <v>177</v>
      </c>
      <c r="C82" s="249"/>
      <c r="D82" s="133"/>
    </row>
    <row r="83" spans="2:4">
      <c r="B83" s="146" t="s">
        <v>178</v>
      </c>
      <c r="C83" s="261">
        <v>0.03</v>
      </c>
      <c r="D83" s="262"/>
    </row>
    <row r="84" spans="2:4">
      <c r="B84" s="146" t="s">
        <v>179</v>
      </c>
      <c r="C84" s="234">
        <f>C85+C86</f>
        <v>15098419.024787307</v>
      </c>
      <c r="D84" s="262" t="s">
        <v>86</v>
      </c>
    </row>
    <row r="85" spans="2:4">
      <c r="B85" s="148" t="s">
        <v>180</v>
      </c>
      <c r="C85" s="234">
        <f>J11-I11</f>
        <v>16870175.609403405</v>
      </c>
      <c r="D85" s="262" t="s">
        <v>86</v>
      </c>
    </row>
    <row r="86" spans="2:4">
      <c r="B86" s="148" t="s">
        <v>181</v>
      </c>
      <c r="C86" s="234">
        <f>H11-G11</f>
        <v>-1771756.5846160983</v>
      </c>
      <c r="D86" s="262" t="s">
        <v>86</v>
      </c>
    </row>
    <row r="87" spans="2:4">
      <c r="B87" s="131" t="s">
        <v>182</v>
      </c>
      <c r="C87" s="234">
        <f>IF(externalities!C12=1,'Sc3 Deep-SCBA'!C84/'Sc3 Deep-SCBA'!C83,0)</f>
        <v>503280634.15957689</v>
      </c>
      <c r="D87" s="262" t="s">
        <v>86</v>
      </c>
    </row>
    <row r="89" spans="2:4">
      <c r="B89" s="145" t="s">
        <v>183</v>
      </c>
      <c r="C89" s="249"/>
      <c r="D89" s="133"/>
    </row>
    <row r="90" spans="2:4">
      <c r="B90" s="149" t="s">
        <v>183</v>
      </c>
      <c r="C90" s="146" t="s">
        <v>164</v>
      </c>
      <c r="D90" s="150"/>
    </row>
    <row r="91" spans="2:4">
      <c r="B91" s="147" t="s">
        <v>184</v>
      </c>
      <c r="C91" s="151">
        <v>5</v>
      </c>
      <c r="D91" s="133"/>
    </row>
    <row r="92" spans="2:4">
      <c r="B92" s="147" t="s">
        <v>185</v>
      </c>
      <c r="C92" s="151">
        <v>4</v>
      </c>
      <c r="D92" s="133"/>
    </row>
    <row r="93" spans="2:4">
      <c r="B93" s="147" t="s">
        <v>186</v>
      </c>
      <c r="C93" s="151">
        <v>3</v>
      </c>
      <c r="D93" s="133"/>
    </row>
    <row r="94" spans="2:4">
      <c r="B94" s="147" t="s">
        <v>187</v>
      </c>
      <c r="C94" s="151">
        <v>2</v>
      </c>
      <c r="D94" s="133"/>
    </row>
    <row r="95" spans="2:4">
      <c r="B95" s="147" t="s">
        <v>188</v>
      </c>
      <c r="C95" s="151">
        <v>1</v>
      </c>
      <c r="D95" s="133"/>
    </row>
    <row r="97" spans="2:4">
      <c r="B97" s="151" t="s">
        <v>189</v>
      </c>
      <c r="C97" s="263">
        <f>(IF(C62=1,0.2,IF(C62=2,0.4,IF(C62=3,0.6,IF(C62=4,0.8,IF(C62=5,1,0))))))</f>
        <v>0</v>
      </c>
      <c r="D97" s="151" t="s">
        <v>190</v>
      </c>
    </row>
    <row r="98" spans="2:4">
      <c r="B98" s="151" t="s">
        <v>189</v>
      </c>
      <c r="C98" s="239">
        <v>0.1</v>
      </c>
      <c r="D98" s="151" t="s">
        <v>191</v>
      </c>
    </row>
  </sheetData>
  <sheetProtection algorithmName="SHA-512" hashValue="L0Hd+WU3IVxRJ73R2zmJtQARTGIxC4SoxfjoYECaG6JYczn6CAjq2CL7+EFUyTDtSafk3LV+ptHR8+Kce3cZ+A==" saltValue="Wb71bPXHG1pcdBQlGrHKFw==" spinCount="100000" sheet="1" objects="1" scenarios="1" selectLockedCells="1"/>
  <mergeCells count="3">
    <mergeCell ref="B66:B67"/>
    <mergeCell ref="C1:N3"/>
    <mergeCell ref="B4:D4"/>
  </mergeCells>
  <pageMargins left="0.7" right="0.7" top="0.75" bottom="0.75" header="0.3" footer="0.3"/>
  <pageSetup orientation="portrait" horizontalDpi="4294967293" verticalDpi="4294967293"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B8631-C575-4107-93A1-CF8989C6B303}">
  <sheetPr>
    <tabColor theme="7" tint="-0.499984740745262"/>
  </sheetPr>
  <dimension ref="A1:P97"/>
  <sheetViews>
    <sheetView zoomScale="70" zoomScaleNormal="70" workbookViewId="0">
      <selection activeCell="C9" sqref="C9"/>
    </sheetView>
  </sheetViews>
  <sheetFormatPr defaultColWidth="0" defaultRowHeight="14.1"/>
  <cols>
    <col min="1" max="1" width="3.5703125" style="121" customWidth="1"/>
    <col min="2" max="2" width="58" style="121" customWidth="1"/>
    <col min="3" max="3" width="20.5703125" style="136" customWidth="1"/>
    <col min="4" max="4" width="20.140625" style="121" bestFit="1" customWidth="1"/>
    <col min="5" max="6" width="8.85546875" style="121" customWidth="1"/>
    <col min="7" max="7" width="14.5703125" style="121" bestFit="1" customWidth="1"/>
    <col min="8" max="8" width="13.42578125" style="121" bestFit="1" customWidth="1"/>
    <col min="9" max="9" width="18.140625" style="121" bestFit="1" customWidth="1"/>
    <col min="10" max="10" width="17" style="121" bestFit="1" customWidth="1"/>
    <col min="11" max="12" width="17" style="121" customWidth="1"/>
    <col min="13" max="13" width="18.42578125" style="121" bestFit="1" customWidth="1"/>
    <col min="14" max="14" width="18.5703125" style="121" bestFit="1" customWidth="1"/>
    <col min="15" max="15" width="20" style="121" bestFit="1" customWidth="1"/>
    <col min="16" max="16" width="8.85546875" style="121" customWidth="1"/>
    <col min="17" max="16384" width="8.85546875" style="121" hidden="1"/>
  </cols>
  <sheetData>
    <row r="1" spans="1:16" ht="14.1" customHeight="1">
      <c r="A1" s="133"/>
      <c r="B1" s="133"/>
      <c r="C1" s="218" t="s">
        <v>235</v>
      </c>
      <c r="D1" s="218"/>
      <c r="E1" s="218"/>
      <c r="F1" s="218"/>
      <c r="G1" s="218"/>
      <c r="H1" s="218"/>
      <c r="I1" s="218"/>
      <c r="J1" s="218"/>
      <c r="K1" s="218"/>
      <c r="L1" s="218"/>
      <c r="M1" s="218"/>
      <c r="N1" s="218"/>
      <c r="O1" s="133"/>
      <c r="P1" s="133"/>
    </row>
    <row r="2" spans="1:16" ht="14.1" customHeight="1">
      <c r="A2" s="133"/>
      <c r="B2" s="133"/>
      <c r="C2" s="218"/>
      <c r="D2" s="218"/>
      <c r="E2" s="218"/>
      <c r="F2" s="218"/>
      <c r="G2" s="218"/>
      <c r="H2" s="218"/>
      <c r="I2" s="218"/>
      <c r="J2" s="218"/>
      <c r="K2" s="218"/>
      <c r="L2" s="218"/>
      <c r="M2" s="218"/>
      <c r="N2" s="218"/>
      <c r="O2" s="133"/>
      <c r="P2" s="133"/>
    </row>
    <row r="3" spans="1:16" ht="14.1" customHeight="1">
      <c r="A3" s="133"/>
      <c r="B3" s="133"/>
      <c r="C3" s="218"/>
      <c r="D3" s="218"/>
      <c r="E3" s="218"/>
      <c r="F3" s="218"/>
      <c r="G3" s="218"/>
      <c r="H3" s="218"/>
      <c r="I3" s="218"/>
      <c r="J3" s="218"/>
      <c r="K3" s="218"/>
      <c r="L3" s="218"/>
      <c r="M3" s="218"/>
      <c r="N3" s="218"/>
      <c r="O3" s="133"/>
      <c r="P3" s="133"/>
    </row>
    <row r="4" spans="1:16" ht="14.45">
      <c r="A4" s="60"/>
      <c r="B4" s="214"/>
      <c r="C4" s="226"/>
      <c r="D4" s="226"/>
      <c r="E4" s="61"/>
      <c r="F4" s="62"/>
      <c r="G4" s="60"/>
      <c r="H4" s="63"/>
      <c r="I4" s="63"/>
      <c r="J4" s="61"/>
      <c r="K4" s="64"/>
      <c r="L4" s="64"/>
      <c r="M4" s="133"/>
      <c r="N4" s="133"/>
      <c r="O4" s="133"/>
      <c r="P4" s="133"/>
    </row>
    <row r="5" spans="1:16" ht="14.45">
      <c r="A5" s="122"/>
      <c r="B5" s="123"/>
      <c r="C5" s="124"/>
      <c r="D5" s="124"/>
      <c r="E5" s="125"/>
      <c r="F5" s="126"/>
      <c r="G5" s="122"/>
      <c r="H5" s="123"/>
      <c r="I5" s="123"/>
      <c r="J5" s="125"/>
      <c r="K5" s="126"/>
      <c r="L5" s="126"/>
      <c r="M5" s="133"/>
      <c r="N5" s="133"/>
      <c r="O5" s="133"/>
      <c r="P5" s="133"/>
    </row>
    <row r="6" spans="1:16" ht="15">
      <c r="A6" s="227"/>
      <c r="B6" s="127" t="s">
        <v>83</v>
      </c>
      <c r="C6" s="128" t="s">
        <v>84</v>
      </c>
      <c r="D6" s="128"/>
      <c r="E6" s="128"/>
      <c r="F6" s="128"/>
      <c r="G6" s="128"/>
      <c r="H6" s="129"/>
      <c r="I6" s="129"/>
      <c r="J6" s="129"/>
      <c r="K6" s="130"/>
      <c r="L6" s="228"/>
      <c r="M6" s="227"/>
      <c r="N6" s="227"/>
      <c r="O6" s="227"/>
      <c r="P6" s="227"/>
    </row>
    <row r="7" spans="1:16" ht="15">
      <c r="A7" s="227"/>
      <c r="B7" s="127"/>
      <c r="C7" s="128"/>
      <c r="D7" s="128"/>
      <c r="E7" s="128"/>
      <c r="F7" s="128"/>
      <c r="G7" s="128"/>
      <c r="H7" s="129"/>
      <c r="I7" s="129"/>
      <c r="J7" s="129"/>
      <c r="K7" s="130"/>
      <c r="L7" s="228"/>
      <c r="M7" s="227"/>
      <c r="N7" s="227"/>
      <c r="O7" s="227"/>
      <c r="P7" s="227"/>
    </row>
    <row r="9" spans="1:16">
      <c r="A9" s="133"/>
      <c r="B9" s="131" t="s">
        <v>85</v>
      </c>
      <c r="C9" s="254">
        <f>'Sc3 Medium-CBA'!C9</f>
        <v>680000000</v>
      </c>
      <c r="D9" s="229" t="s">
        <v>86</v>
      </c>
      <c r="E9" s="133"/>
      <c r="F9" s="132" t="s">
        <v>87</v>
      </c>
      <c r="G9" s="132" t="s">
        <v>207</v>
      </c>
      <c r="H9" s="132" t="s">
        <v>208</v>
      </c>
      <c r="I9" s="132" t="s">
        <v>90</v>
      </c>
      <c r="J9" s="132" t="s">
        <v>91</v>
      </c>
      <c r="K9" s="132" t="s">
        <v>148</v>
      </c>
      <c r="L9" s="132" t="s">
        <v>149</v>
      </c>
      <c r="M9" s="132" t="s">
        <v>92</v>
      </c>
      <c r="N9" s="132" t="s">
        <v>93</v>
      </c>
      <c r="O9" s="132" t="s">
        <v>94</v>
      </c>
      <c r="P9" s="133"/>
    </row>
    <row r="10" spans="1:16">
      <c r="A10" s="133"/>
      <c r="B10" s="131" t="s">
        <v>209</v>
      </c>
      <c r="C10" s="238">
        <f>'Sc2-CBA'!C12</f>
        <v>2000</v>
      </c>
      <c r="D10" s="229" t="s">
        <v>86</v>
      </c>
      <c r="E10" s="133"/>
      <c r="F10" s="230">
        <v>0</v>
      </c>
      <c r="G10" s="231"/>
      <c r="H10" s="231"/>
      <c r="I10" s="231"/>
      <c r="J10" s="231"/>
      <c r="K10" s="232"/>
      <c r="L10" s="231">
        <f>IF(C59=1,C86,0)</f>
        <v>565011530.26912391</v>
      </c>
      <c r="M10" s="232">
        <f>C9-C10*C20</f>
        <v>630936180.95890903</v>
      </c>
      <c r="N10" s="231"/>
      <c r="O10" s="231">
        <f>(H10+J10+L10+N10)-(G10+I10+K10+M10)</f>
        <v>-65924650.689785123</v>
      </c>
      <c r="P10" s="133"/>
    </row>
    <row r="11" spans="1:16">
      <c r="A11" s="133"/>
      <c r="B11" s="131" t="s">
        <v>210</v>
      </c>
      <c r="C11" s="234">
        <f>'Sc1 Medium-CBA'!C10</f>
        <v>13000</v>
      </c>
      <c r="D11" s="229" t="s">
        <v>86</v>
      </c>
      <c r="E11" s="133"/>
      <c r="F11" s="230">
        <v>1</v>
      </c>
      <c r="G11" s="232">
        <f>$C$36*$C$20/(1+$C$53)</f>
        <v>2027430.5388880558</v>
      </c>
      <c r="H11" s="232">
        <f t="shared" ref="H11:H35" si="0">$C$35</f>
        <v>0</v>
      </c>
      <c r="I11" s="231">
        <f>(($C$22*$C$23*(1-$C$26))/$C$24*$C$31*$C$20*$I$43)+(($C$22*$C$40*(1-$C$26))/$C$24*$C$31*$C$20*$I$44)+(($C$22*$C$42*(1-$C$26))/$C$24*$C$31*$C$20*$I$45)+(($C$22*$C$41*(1-$C$26))/$C$24*$C$31*$C$20*$I$46)</f>
        <v>2353218.4882090501</v>
      </c>
      <c r="J11" s="232">
        <f>($C$27*$C$31+$C$22*$C$34+$C$30*($C$31-$C$33))*$C$20*$I$43+($C$27*$C$31+$C$22*$C$43+$C$30*($C$31-$C$33))*$C$20*$I$44+($C$27*$C$31+$C$22*$C$31+$C$30*($C$31-$C$33))*$C$20*$I$45+($C$27*$C$31+$C$22*$C$44+$C$30*($C$31-$C$33))*$C$20*$I$46</f>
        <v>21330994.935170822</v>
      </c>
      <c r="K11" s="231">
        <f>(($C$22*$C$23*(1-$C$26))*$C$72/1000+$C$15*$C$19*8760*$C$75/1000)*$C$20</f>
        <v>1742421.1667087558</v>
      </c>
      <c r="L11" s="282">
        <f>($C$27*$C$74/1000+$C$28*$C$79/1000+$C$15*$C$19*8760*$C$74/1000)*$C$20*$I$43+($C$27*$C$74/1000+$C$28*$C$67/1000+$C$15*$C$19*8760*$C$74/1000)*$C$20*$I$44+($C$27*$C$74/1000+$C$28*$C$78/1000+$C$15*$C$19*8760*$C$74/1000)*$C$20*$I$45+($C$27*$C$74/1000+$C$28*$C$77/1000+$C$15*$C$19*8760*$C$74/1000)*$C$20*$I$46+(J11-I11)*$C$97*$C$98</f>
        <v>4691202.8895703312</v>
      </c>
      <c r="M11" s="232"/>
      <c r="N11" s="231"/>
      <c r="O11" s="231">
        <f t="shared" ref="O11:O17" si="1">(H11+J11+L11+N11)-(G11+I11+K11+M11)</f>
        <v>19899127.630935293</v>
      </c>
      <c r="P11" s="133"/>
    </row>
    <row r="12" spans="1:16">
      <c r="A12" s="133"/>
      <c r="B12" s="131" t="s">
        <v>211</v>
      </c>
      <c r="C12" s="238">
        <f>'Sc2-CBA'!C10</f>
        <v>10000</v>
      </c>
      <c r="D12" s="229" t="s">
        <v>86</v>
      </c>
      <c r="E12" s="133"/>
      <c r="F12" s="230">
        <v>2</v>
      </c>
      <c r="G12" s="232">
        <f t="shared" ref="G12:G35" si="2">$C$36*$C$20/(1+$C$53)</f>
        <v>2027430.5388880558</v>
      </c>
      <c r="H12" s="232">
        <f t="shared" si="0"/>
        <v>0</v>
      </c>
      <c r="I12" s="231">
        <f t="shared" ref="I12:I35" si="3">(($C$22*$C$23*(1-$C$26))/$C$24*$C$31*$C$20*$I$43)+(($C$22*$C$40*(1-$C$26))/$C$24*$C$31*$C$20*$I$44)+(($C$22*$C$42*(1-$C$26))/$C$24*$C$31*$C$20*$I$45)+(($C$22*$C$41*(1-$C$26))/$C$24*$C$31*$C$20*$I$46)</f>
        <v>2353218.4882090501</v>
      </c>
      <c r="J12" s="232">
        <f t="shared" ref="J12:J35" si="4">($C$27*$C$31+$C$22*$C$34+$C$30*($C$31-$C$33))*$C$20*$I$43+($C$27*$C$31+$C$22*$C$43+$C$30*($C$31-$C$33))*$C$20*$I$44+($C$27*$C$31+$C$22*$C$31+$C$30*($C$31-$C$33))*$C$20*$I$45+($C$27*$C$31+$C$22*$C$44+$C$30*($C$31-$C$33))*$C$20*$I$46</f>
        <v>21330994.935170822</v>
      </c>
      <c r="K12" s="231">
        <f t="shared" ref="K12:K35" si="5">(($C$22*$C$23*(1-$C$26))*$C$72/1000+$C$15*$C$19*8760*$C$75/1000)*$C$20</f>
        <v>1742421.1667087558</v>
      </c>
      <c r="L12" s="282">
        <f t="shared" ref="L12:L35" si="6">($C$27*$C$74/1000+$C$28*$C$79/1000+$C$15*$C$19*8760*$C$74/1000)*$C$20*$I$43+($C$27*$C$74/1000+$C$28*$C$67/1000+$C$15*$C$19*8760*$C$74/1000)*$C$20*$I$44+($C$27*$C$74/1000+$C$28*$C$78/1000+$C$15*$C$19*8760*$C$74/1000)*$C$20*$I$45+($C$27*$C$74/1000+$C$28*$C$77/1000+$C$15*$C$19*8760*$C$74/1000)*$C$20*$I$46+(J12-I12)*$C$97*$C$98</f>
        <v>4691202.8895703312</v>
      </c>
      <c r="M12" s="232"/>
      <c r="N12" s="231"/>
      <c r="O12" s="231">
        <f t="shared" si="1"/>
        <v>19899127.630935293</v>
      </c>
      <c r="P12" s="133"/>
    </row>
    <row r="13" spans="1:16">
      <c r="A13" s="133"/>
      <c r="B13" s="131" t="s">
        <v>212</v>
      </c>
      <c r="C13" s="234">
        <f>C15*(C17+C18)</f>
        <v>5469</v>
      </c>
      <c r="D13" s="229" t="s">
        <v>86</v>
      </c>
      <c r="E13" s="133"/>
      <c r="F13" s="230">
        <v>3</v>
      </c>
      <c r="G13" s="232">
        <f t="shared" si="2"/>
        <v>2027430.5388880558</v>
      </c>
      <c r="H13" s="232">
        <f t="shared" si="0"/>
        <v>0</v>
      </c>
      <c r="I13" s="231">
        <f t="shared" si="3"/>
        <v>2353218.4882090501</v>
      </c>
      <c r="J13" s="232">
        <f t="shared" si="4"/>
        <v>21330994.935170822</v>
      </c>
      <c r="K13" s="231">
        <f t="shared" si="5"/>
        <v>1742421.1667087558</v>
      </c>
      <c r="L13" s="282">
        <f t="shared" si="6"/>
        <v>4691202.8895703312</v>
      </c>
      <c r="M13" s="232"/>
      <c r="N13" s="231"/>
      <c r="O13" s="231">
        <f t="shared" si="1"/>
        <v>19899127.630935293</v>
      </c>
      <c r="P13" s="133"/>
    </row>
    <row r="14" spans="1:16">
      <c r="A14" s="133"/>
      <c r="B14" s="131" t="s">
        <v>96</v>
      </c>
      <c r="C14" s="234">
        <f>(C11+C12+C13-C18*C15)*(1-C51)</f>
        <v>27719</v>
      </c>
      <c r="D14" s="229" t="s">
        <v>86</v>
      </c>
      <c r="E14" s="133"/>
      <c r="F14" s="230">
        <v>4</v>
      </c>
      <c r="G14" s="232">
        <f t="shared" si="2"/>
        <v>2027430.5388880558</v>
      </c>
      <c r="H14" s="232">
        <f t="shared" si="0"/>
        <v>0</v>
      </c>
      <c r="I14" s="231">
        <f t="shared" si="3"/>
        <v>2353218.4882090501</v>
      </c>
      <c r="J14" s="232">
        <f t="shared" si="4"/>
        <v>21330994.935170822</v>
      </c>
      <c r="K14" s="231">
        <f t="shared" si="5"/>
        <v>1742421.1667087558</v>
      </c>
      <c r="L14" s="282">
        <f t="shared" si="6"/>
        <v>4691202.8895703312</v>
      </c>
      <c r="M14" s="232"/>
      <c r="N14" s="231"/>
      <c r="O14" s="231">
        <f t="shared" si="1"/>
        <v>19899127.630935293</v>
      </c>
      <c r="P14" s="133"/>
    </row>
    <row r="15" spans="1:16">
      <c r="A15" s="133"/>
      <c r="B15" s="131" t="s">
        <v>213</v>
      </c>
      <c r="C15" s="234">
        <f>'Sc3 Deep-CBA'!C15</f>
        <v>3</v>
      </c>
      <c r="D15" s="229" t="s">
        <v>214</v>
      </c>
      <c r="E15" s="133"/>
      <c r="F15" s="230">
        <v>5</v>
      </c>
      <c r="G15" s="232">
        <f t="shared" si="2"/>
        <v>2027430.5388880558</v>
      </c>
      <c r="H15" s="232">
        <f t="shared" si="0"/>
        <v>0</v>
      </c>
      <c r="I15" s="231">
        <f t="shared" si="3"/>
        <v>2353218.4882090501</v>
      </c>
      <c r="J15" s="232">
        <f t="shared" si="4"/>
        <v>21330994.935170822</v>
      </c>
      <c r="K15" s="231">
        <f t="shared" si="5"/>
        <v>1742421.1667087558</v>
      </c>
      <c r="L15" s="282">
        <f t="shared" si="6"/>
        <v>4691202.8895703312</v>
      </c>
      <c r="M15" s="232"/>
      <c r="N15" s="231"/>
      <c r="O15" s="231">
        <f t="shared" si="1"/>
        <v>19899127.630935293</v>
      </c>
      <c r="P15" s="133"/>
    </row>
    <row r="16" spans="1:16">
      <c r="A16" s="133"/>
      <c r="B16" s="131" t="s">
        <v>215</v>
      </c>
      <c r="C16" s="144">
        <f>'Sc3 Deep-CBA'!C16</f>
        <v>1300</v>
      </c>
      <c r="D16" s="229" t="s">
        <v>216</v>
      </c>
      <c r="E16" s="133"/>
      <c r="F16" s="230">
        <v>6</v>
      </c>
      <c r="G16" s="232">
        <f t="shared" si="2"/>
        <v>2027430.5388880558</v>
      </c>
      <c r="H16" s="232">
        <f t="shared" si="0"/>
        <v>0</v>
      </c>
      <c r="I16" s="231">
        <f t="shared" si="3"/>
        <v>2353218.4882090501</v>
      </c>
      <c r="J16" s="232">
        <f t="shared" si="4"/>
        <v>21330994.935170822</v>
      </c>
      <c r="K16" s="231">
        <f t="shared" si="5"/>
        <v>1742421.1667087558</v>
      </c>
      <c r="L16" s="282">
        <f t="shared" si="6"/>
        <v>4691202.8895703312</v>
      </c>
      <c r="M16" s="232"/>
      <c r="N16" s="231"/>
      <c r="O16" s="231">
        <f t="shared" si="1"/>
        <v>19899127.630935293</v>
      </c>
      <c r="P16" s="133"/>
    </row>
    <row r="17" spans="2:15">
      <c r="B17" s="131" t="s">
        <v>217</v>
      </c>
      <c r="C17" s="144">
        <f>C16*(1+C53)</f>
        <v>1573</v>
      </c>
      <c r="D17" s="229" t="s">
        <v>216</v>
      </c>
      <c r="E17" s="133"/>
      <c r="F17" s="230">
        <v>7</v>
      </c>
      <c r="G17" s="232">
        <f t="shared" si="2"/>
        <v>2027430.5388880558</v>
      </c>
      <c r="H17" s="232">
        <f t="shared" si="0"/>
        <v>0</v>
      </c>
      <c r="I17" s="231">
        <f t="shared" si="3"/>
        <v>2353218.4882090501</v>
      </c>
      <c r="J17" s="232">
        <f t="shared" si="4"/>
        <v>21330994.935170822</v>
      </c>
      <c r="K17" s="231">
        <f t="shared" si="5"/>
        <v>1742421.1667087558</v>
      </c>
      <c r="L17" s="282">
        <f t="shared" si="6"/>
        <v>4691202.8895703312</v>
      </c>
      <c r="M17" s="232"/>
      <c r="N17" s="231"/>
      <c r="O17" s="231">
        <f t="shared" si="1"/>
        <v>19899127.630935293</v>
      </c>
    </row>
    <row r="18" spans="2:15">
      <c r="B18" s="131" t="str">
        <f>'Sc3 Deep-CBA'!B18</f>
        <v>Cost of grid update/connection</v>
      </c>
      <c r="C18" s="105">
        <f>'Sc3 Deep-CBA'!C18</f>
        <v>250</v>
      </c>
      <c r="D18" s="229"/>
      <c r="E18" s="133"/>
      <c r="F18" s="230">
        <v>8</v>
      </c>
      <c r="G18" s="232">
        <f t="shared" si="2"/>
        <v>2027430.5388880558</v>
      </c>
      <c r="H18" s="232">
        <f t="shared" si="0"/>
        <v>0</v>
      </c>
      <c r="I18" s="231">
        <f t="shared" si="3"/>
        <v>2353218.4882090501</v>
      </c>
      <c r="J18" s="232">
        <f t="shared" si="4"/>
        <v>21330994.935170822</v>
      </c>
      <c r="K18" s="231">
        <f t="shared" si="5"/>
        <v>1742421.1667087558</v>
      </c>
      <c r="L18" s="282">
        <f t="shared" si="6"/>
        <v>4691202.8895703312</v>
      </c>
      <c r="M18" s="232"/>
      <c r="N18" s="231"/>
      <c r="O18" s="231">
        <f t="shared" ref="O18:O35" si="7">(H18+J18+L18+N18)-(G18+I18+K18+M18)</f>
        <v>19899127.630935293</v>
      </c>
    </row>
    <row r="19" spans="2:15">
      <c r="B19" s="131" t="s">
        <v>232</v>
      </c>
      <c r="C19" s="106">
        <v>0.15</v>
      </c>
      <c r="D19" s="229" t="s">
        <v>104</v>
      </c>
      <c r="E19" s="133"/>
      <c r="F19" s="230">
        <v>9</v>
      </c>
      <c r="G19" s="232">
        <f t="shared" si="2"/>
        <v>2027430.5388880558</v>
      </c>
      <c r="H19" s="232">
        <f t="shared" si="0"/>
        <v>0</v>
      </c>
      <c r="I19" s="231">
        <f t="shared" si="3"/>
        <v>2353218.4882090501</v>
      </c>
      <c r="J19" s="232">
        <f t="shared" si="4"/>
        <v>21330994.935170822</v>
      </c>
      <c r="K19" s="231">
        <f t="shared" si="5"/>
        <v>1742421.1667087558</v>
      </c>
      <c r="L19" s="282">
        <f t="shared" si="6"/>
        <v>4691202.8895703312</v>
      </c>
      <c r="M19" s="232"/>
      <c r="N19" s="231"/>
      <c r="O19" s="231">
        <f t="shared" si="7"/>
        <v>19899127.630935293</v>
      </c>
    </row>
    <row r="20" spans="2:15">
      <c r="B20" s="131" t="s">
        <v>151</v>
      </c>
      <c r="C20" s="235">
        <f>C9/C14</f>
        <v>24531.909520545476</v>
      </c>
      <c r="D20" s="229" t="s">
        <v>194</v>
      </c>
      <c r="E20" s="133"/>
      <c r="F20" s="230">
        <v>10</v>
      </c>
      <c r="G20" s="232">
        <f t="shared" si="2"/>
        <v>2027430.5388880558</v>
      </c>
      <c r="H20" s="232">
        <f t="shared" si="0"/>
        <v>0</v>
      </c>
      <c r="I20" s="231">
        <f t="shared" si="3"/>
        <v>2353218.4882090501</v>
      </c>
      <c r="J20" s="232">
        <f t="shared" si="4"/>
        <v>21330994.935170822</v>
      </c>
      <c r="K20" s="231">
        <f t="shared" si="5"/>
        <v>1742421.1667087558</v>
      </c>
      <c r="L20" s="282">
        <f t="shared" si="6"/>
        <v>4691202.8895703312</v>
      </c>
      <c r="M20" s="232"/>
      <c r="N20" s="231"/>
      <c r="O20" s="231">
        <f t="shared" si="7"/>
        <v>19899127.630935293</v>
      </c>
    </row>
    <row r="21" spans="2:15">
      <c r="B21" s="103" t="s">
        <v>219</v>
      </c>
      <c r="C21" s="235">
        <f>'Sc0-CBA'!C14</f>
        <v>104</v>
      </c>
      <c r="D21" s="229" t="s">
        <v>101</v>
      </c>
      <c r="E21" s="133"/>
      <c r="F21" s="230">
        <v>11</v>
      </c>
      <c r="G21" s="232">
        <f t="shared" si="2"/>
        <v>2027430.5388880558</v>
      </c>
      <c r="H21" s="232">
        <f t="shared" si="0"/>
        <v>0</v>
      </c>
      <c r="I21" s="231">
        <f t="shared" si="3"/>
        <v>2353218.4882090501</v>
      </c>
      <c r="J21" s="232">
        <f t="shared" si="4"/>
        <v>21330994.935170822</v>
      </c>
      <c r="K21" s="231">
        <f t="shared" si="5"/>
        <v>1742421.1667087558</v>
      </c>
      <c r="L21" s="282">
        <f t="shared" si="6"/>
        <v>4691202.8895703312</v>
      </c>
      <c r="M21" s="232"/>
      <c r="N21" s="231"/>
      <c r="O21" s="231">
        <f t="shared" si="7"/>
        <v>19899127.630935293</v>
      </c>
    </row>
    <row r="22" spans="2:15">
      <c r="B22" s="103" t="s">
        <v>220</v>
      </c>
      <c r="C22" s="235">
        <f>'Sc0-CBA'!C15</f>
        <v>4070</v>
      </c>
      <c r="D22" s="229" t="s">
        <v>101</v>
      </c>
      <c r="E22" s="133"/>
      <c r="F22" s="230">
        <v>12</v>
      </c>
      <c r="G22" s="232">
        <f t="shared" si="2"/>
        <v>2027430.5388880558</v>
      </c>
      <c r="H22" s="232">
        <f t="shared" si="0"/>
        <v>0</v>
      </c>
      <c r="I22" s="231">
        <f t="shared" si="3"/>
        <v>2353218.4882090501</v>
      </c>
      <c r="J22" s="232">
        <f t="shared" si="4"/>
        <v>21330994.935170822</v>
      </c>
      <c r="K22" s="231">
        <f t="shared" si="5"/>
        <v>1742421.1667087558</v>
      </c>
      <c r="L22" s="282">
        <f t="shared" si="6"/>
        <v>4691202.8895703312</v>
      </c>
      <c r="M22" s="232"/>
      <c r="N22" s="231"/>
      <c r="O22" s="231">
        <f t="shared" si="7"/>
        <v>19899127.630935293</v>
      </c>
    </row>
    <row r="23" spans="2:15">
      <c r="B23" s="131" t="str">
        <f>'Sc0-CBA'!B17</f>
        <v>Degree of efficiency of existing natural gas boiler</v>
      </c>
      <c r="C23" s="279">
        <f>'Sc2-CBA'!C17</f>
        <v>0.85</v>
      </c>
      <c r="D23" s="229" t="s">
        <v>104</v>
      </c>
      <c r="E23" s="133"/>
      <c r="F23" s="230">
        <v>13</v>
      </c>
      <c r="G23" s="232">
        <f t="shared" si="2"/>
        <v>2027430.5388880558</v>
      </c>
      <c r="H23" s="232">
        <f t="shared" si="0"/>
        <v>0</v>
      </c>
      <c r="I23" s="231">
        <f t="shared" si="3"/>
        <v>2353218.4882090501</v>
      </c>
      <c r="J23" s="232">
        <f t="shared" si="4"/>
        <v>21330994.935170822</v>
      </c>
      <c r="K23" s="231">
        <f t="shared" si="5"/>
        <v>1742421.1667087558</v>
      </c>
      <c r="L23" s="282">
        <f t="shared" si="6"/>
        <v>4691202.8895703312</v>
      </c>
      <c r="M23" s="232"/>
      <c r="N23" s="231"/>
      <c r="O23" s="231">
        <f t="shared" si="7"/>
        <v>19899127.630935293</v>
      </c>
    </row>
    <row r="24" spans="2:15">
      <c r="B24" s="131" t="s">
        <v>221</v>
      </c>
      <c r="C24" s="270">
        <f>'Sc2-CBA'!C21</f>
        <v>3</v>
      </c>
      <c r="D24" s="229"/>
      <c r="E24" s="133"/>
      <c r="F24" s="230">
        <v>14</v>
      </c>
      <c r="G24" s="232">
        <f t="shared" si="2"/>
        <v>2027430.5388880558</v>
      </c>
      <c r="H24" s="232">
        <f t="shared" si="0"/>
        <v>0</v>
      </c>
      <c r="I24" s="231">
        <f t="shared" si="3"/>
        <v>2353218.4882090501</v>
      </c>
      <c r="J24" s="232">
        <f t="shared" si="4"/>
        <v>21330994.935170822</v>
      </c>
      <c r="K24" s="231">
        <f t="shared" si="5"/>
        <v>1742421.1667087558</v>
      </c>
      <c r="L24" s="282">
        <f t="shared" si="6"/>
        <v>4691202.8895703312</v>
      </c>
      <c r="M24" s="232"/>
      <c r="N24" s="231"/>
      <c r="O24" s="231">
        <f t="shared" si="7"/>
        <v>19899127.630935293</v>
      </c>
    </row>
    <row r="25" spans="2:15">
      <c r="B25" s="131" t="s">
        <v>125</v>
      </c>
      <c r="C25" s="283">
        <f>'Sc1 Medium-CBA'!C16</f>
        <v>0.56000000000000005</v>
      </c>
      <c r="D25" s="229" t="s">
        <v>104</v>
      </c>
      <c r="E25" s="133"/>
      <c r="F25" s="230">
        <v>15</v>
      </c>
      <c r="G25" s="232">
        <f t="shared" si="2"/>
        <v>2027430.5388880558</v>
      </c>
      <c r="H25" s="232">
        <f t="shared" si="0"/>
        <v>0</v>
      </c>
      <c r="I25" s="231">
        <f t="shared" si="3"/>
        <v>2353218.4882090501</v>
      </c>
      <c r="J25" s="232">
        <f t="shared" si="4"/>
        <v>21330994.935170822</v>
      </c>
      <c r="K25" s="231">
        <f t="shared" si="5"/>
        <v>1742421.1667087558</v>
      </c>
      <c r="L25" s="282">
        <f t="shared" si="6"/>
        <v>4691202.8895703312</v>
      </c>
      <c r="M25" s="232"/>
      <c r="N25" s="231"/>
      <c r="O25" s="231">
        <f t="shared" si="7"/>
        <v>19899127.630935293</v>
      </c>
    </row>
    <row r="26" spans="2:15">
      <c r="B26" s="131" t="s">
        <v>127</v>
      </c>
      <c r="C26" s="283">
        <f>'Sc1 Medium-CBA'!C17</f>
        <v>0.56000000000000005</v>
      </c>
      <c r="D26" s="229" t="s">
        <v>104</v>
      </c>
      <c r="E26" s="133"/>
      <c r="F26" s="230">
        <v>16</v>
      </c>
      <c r="G26" s="232">
        <f t="shared" si="2"/>
        <v>2027430.5388880558</v>
      </c>
      <c r="H26" s="232">
        <f t="shared" si="0"/>
        <v>0</v>
      </c>
      <c r="I26" s="231">
        <f t="shared" si="3"/>
        <v>2353218.4882090501</v>
      </c>
      <c r="J26" s="232">
        <f t="shared" si="4"/>
        <v>21330994.935170822</v>
      </c>
      <c r="K26" s="231">
        <f t="shared" si="5"/>
        <v>1742421.1667087558</v>
      </c>
      <c r="L26" s="282">
        <f t="shared" si="6"/>
        <v>4691202.8895703312</v>
      </c>
      <c r="M26" s="232"/>
      <c r="N26" s="231"/>
      <c r="O26" s="231">
        <f t="shared" si="7"/>
        <v>19899127.630935293</v>
      </c>
    </row>
    <row r="27" spans="2:15">
      <c r="B27" s="131" t="s">
        <v>154</v>
      </c>
      <c r="C27" s="270">
        <f>C21*C25</f>
        <v>58.240000000000009</v>
      </c>
      <c r="D27" s="229" t="s">
        <v>101</v>
      </c>
      <c r="E27" s="133"/>
      <c r="F27" s="230">
        <v>17</v>
      </c>
      <c r="G27" s="232">
        <f t="shared" si="2"/>
        <v>2027430.5388880558</v>
      </c>
      <c r="H27" s="232">
        <f t="shared" si="0"/>
        <v>0</v>
      </c>
      <c r="I27" s="231">
        <f t="shared" si="3"/>
        <v>2353218.4882090501</v>
      </c>
      <c r="J27" s="232">
        <f t="shared" si="4"/>
        <v>21330994.935170822</v>
      </c>
      <c r="K27" s="231">
        <f t="shared" si="5"/>
        <v>1742421.1667087558</v>
      </c>
      <c r="L27" s="282">
        <f t="shared" si="6"/>
        <v>4691202.8895703312</v>
      </c>
      <c r="M27" s="232"/>
      <c r="N27" s="231"/>
      <c r="O27" s="231">
        <f t="shared" si="7"/>
        <v>19899127.630935293</v>
      </c>
    </row>
    <row r="28" spans="2:15">
      <c r="B28" s="131" t="s">
        <v>155</v>
      </c>
      <c r="C28" s="270">
        <f>C22*C26</f>
        <v>2279.2000000000003</v>
      </c>
      <c r="D28" s="229" t="s">
        <v>101</v>
      </c>
      <c r="E28" s="133"/>
      <c r="F28" s="230">
        <v>18</v>
      </c>
      <c r="G28" s="232">
        <f t="shared" si="2"/>
        <v>2027430.5388880558</v>
      </c>
      <c r="H28" s="232">
        <f t="shared" si="0"/>
        <v>0</v>
      </c>
      <c r="I28" s="231">
        <f t="shared" si="3"/>
        <v>2353218.4882090501</v>
      </c>
      <c r="J28" s="232">
        <f t="shared" si="4"/>
        <v>21330994.935170822</v>
      </c>
      <c r="K28" s="231">
        <f t="shared" si="5"/>
        <v>1742421.1667087558</v>
      </c>
      <c r="L28" s="282">
        <f t="shared" si="6"/>
        <v>4691202.8895703312</v>
      </c>
      <c r="M28" s="232"/>
      <c r="N28" s="231"/>
      <c r="O28" s="231">
        <f t="shared" si="7"/>
        <v>19899127.630935293</v>
      </c>
    </row>
    <row r="29" spans="2:15">
      <c r="B29" s="131" t="s">
        <v>222</v>
      </c>
      <c r="C29" s="234">
        <f>'Sc3 Deep-CBA'!C28</f>
        <v>3929.64</v>
      </c>
      <c r="D29" s="229" t="s">
        <v>101</v>
      </c>
      <c r="E29" s="133"/>
      <c r="F29" s="230">
        <v>19</v>
      </c>
      <c r="G29" s="232">
        <f t="shared" si="2"/>
        <v>2027430.5388880558</v>
      </c>
      <c r="H29" s="232">
        <f t="shared" si="0"/>
        <v>0</v>
      </c>
      <c r="I29" s="231">
        <f t="shared" si="3"/>
        <v>2353218.4882090501</v>
      </c>
      <c r="J29" s="232">
        <f t="shared" si="4"/>
        <v>21330994.935170822</v>
      </c>
      <c r="K29" s="231">
        <f t="shared" si="5"/>
        <v>1742421.1667087558</v>
      </c>
      <c r="L29" s="282">
        <f t="shared" si="6"/>
        <v>4691202.8895703312</v>
      </c>
      <c r="M29" s="232"/>
      <c r="N29" s="231"/>
      <c r="O29" s="231">
        <f t="shared" si="7"/>
        <v>19899127.630935293</v>
      </c>
    </row>
    <row r="30" spans="2:15">
      <c r="B30" s="131" t="s">
        <v>223</v>
      </c>
      <c r="C30" s="234">
        <f>C29+C21*(1-C25)+(C22-C28)/C24</f>
        <v>4572.333333333333</v>
      </c>
      <c r="D30" s="229" t="s">
        <v>101</v>
      </c>
      <c r="E30" s="133"/>
      <c r="F30" s="230">
        <v>20</v>
      </c>
      <c r="G30" s="232">
        <f t="shared" si="2"/>
        <v>2027430.5388880558</v>
      </c>
      <c r="H30" s="232">
        <f t="shared" si="0"/>
        <v>0</v>
      </c>
      <c r="I30" s="231">
        <f t="shared" si="3"/>
        <v>2353218.4882090501</v>
      </c>
      <c r="J30" s="232">
        <f t="shared" si="4"/>
        <v>21330994.935170822</v>
      </c>
      <c r="K30" s="231">
        <f t="shared" si="5"/>
        <v>1742421.1667087558</v>
      </c>
      <c r="L30" s="282">
        <f t="shared" si="6"/>
        <v>4691202.8895703312</v>
      </c>
      <c r="M30" s="232"/>
      <c r="N30" s="231"/>
      <c r="O30" s="231">
        <f t="shared" si="7"/>
        <v>19899127.630935293</v>
      </c>
    </row>
    <row r="31" spans="2:15">
      <c r="B31" s="131" t="s">
        <v>113</v>
      </c>
      <c r="C31" s="237">
        <f>'Energy prices'!$D$6/1000</f>
        <v>0.21199999999999999</v>
      </c>
      <c r="D31" s="229" t="s">
        <v>114</v>
      </c>
      <c r="E31" s="133"/>
      <c r="F31" s="230">
        <v>21</v>
      </c>
      <c r="G31" s="232">
        <f t="shared" si="2"/>
        <v>2027430.5388880558</v>
      </c>
      <c r="H31" s="232">
        <f t="shared" si="0"/>
        <v>0</v>
      </c>
      <c r="I31" s="231">
        <f t="shared" si="3"/>
        <v>2353218.4882090501</v>
      </c>
      <c r="J31" s="232">
        <f t="shared" si="4"/>
        <v>21330994.935170822</v>
      </c>
      <c r="K31" s="231">
        <f t="shared" si="5"/>
        <v>1742421.1667087558</v>
      </c>
      <c r="L31" s="282">
        <f t="shared" si="6"/>
        <v>4691202.8895703312</v>
      </c>
      <c r="M31" s="232"/>
      <c r="N31" s="231"/>
      <c r="O31" s="231">
        <f t="shared" si="7"/>
        <v>19899127.630935293</v>
      </c>
    </row>
    <row r="32" spans="2:15">
      <c r="B32" s="131" t="s">
        <v>224</v>
      </c>
      <c r="C32" s="275">
        <v>0.5</v>
      </c>
      <c r="D32" s="229" t="s">
        <v>104</v>
      </c>
      <c r="E32" s="133"/>
      <c r="F32" s="230">
        <v>22</v>
      </c>
      <c r="G32" s="232">
        <f t="shared" si="2"/>
        <v>2027430.5388880558</v>
      </c>
      <c r="H32" s="232">
        <f t="shared" si="0"/>
        <v>0</v>
      </c>
      <c r="I32" s="231">
        <f t="shared" si="3"/>
        <v>2353218.4882090501</v>
      </c>
      <c r="J32" s="232">
        <f t="shared" si="4"/>
        <v>21330994.935170822</v>
      </c>
      <c r="K32" s="231">
        <f t="shared" si="5"/>
        <v>1742421.1667087558</v>
      </c>
      <c r="L32" s="282">
        <f t="shared" si="6"/>
        <v>4691202.8895703312</v>
      </c>
      <c r="M32" s="232"/>
      <c r="N32" s="231"/>
      <c r="O32" s="231">
        <f t="shared" si="7"/>
        <v>19899127.630935293</v>
      </c>
    </row>
    <row r="33" spans="2:15">
      <c r="B33" s="103" t="s">
        <v>225</v>
      </c>
      <c r="C33" s="167">
        <f>C31*C32</f>
        <v>0.106</v>
      </c>
      <c r="D33" s="229" t="s">
        <v>114</v>
      </c>
      <c r="E33" s="133"/>
      <c r="F33" s="230">
        <v>23</v>
      </c>
      <c r="G33" s="232">
        <f t="shared" si="2"/>
        <v>2027430.5388880558</v>
      </c>
      <c r="H33" s="232">
        <f t="shared" si="0"/>
        <v>0</v>
      </c>
      <c r="I33" s="231">
        <f t="shared" si="3"/>
        <v>2353218.4882090501</v>
      </c>
      <c r="J33" s="232">
        <f t="shared" si="4"/>
        <v>21330994.935170822</v>
      </c>
      <c r="K33" s="231">
        <f t="shared" si="5"/>
        <v>1742421.1667087558</v>
      </c>
      <c r="L33" s="282">
        <f t="shared" si="6"/>
        <v>4691202.8895703312</v>
      </c>
      <c r="M33" s="232"/>
      <c r="N33" s="231"/>
      <c r="O33" s="231">
        <f t="shared" si="7"/>
        <v>19899127.630935293</v>
      </c>
    </row>
    <row r="34" spans="2:15">
      <c r="B34" s="103" t="str">
        <f>'Sc0-SCBA'!B25</f>
        <v>Natural gas price</v>
      </c>
      <c r="C34" s="107">
        <f>'Sc0-SCBA'!C25</f>
        <v>9.4E-2</v>
      </c>
      <c r="D34" s="229" t="s">
        <v>114</v>
      </c>
      <c r="E34" s="133"/>
      <c r="F34" s="230">
        <v>24</v>
      </c>
      <c r="G34" s="232">
        <f t="shared" si="2"/>
        <v>2027430.5388880558</v>
      </c>
      <c r="H34" s="232">
        <f t="shared" si="0"/>
        <v>0</v>
      </c>
      <c r="I34" s="231">
        <f t="shared" si="3"/>
        <v>2353218.4882090501</v>
      </c>
      <c r="J34" s="232">
        <f t="shared" si="4"/>
        <v>21330994.935170822</v>
      </c>
      <c r="K34" s="231">
        <f t="shared" si="5"/>
        <v>1742421.1667087558</v>
      </c>
      <c r="L34" s="282">
        <f t="shared" si="6"/>
        <v>4691202.8895703312</v>
      </c>
      <c r="M34" s="232"/>
      <c r="N34" s="231"/>
      <c r="O34" s="231">
        <f t="shared" si="7"/>
        <v>19899127.630935293</v>
      </c>
    </row>
    <row r="35" spans="2:15">
      <c r="B35" s="103" t="s">
        <v>118</v>
      </c>
      <c r="C35" s="234">
        <v>0</v>
      </c>
      <c r="D35" s="229" t="s">
        <v>86</v>
      </c>
      <c r="E35" s="133"/>
      <c r="F35" s="230">
        <v>25</v>
      </c>
      <c r="G35" s="232">
        <f t="shared" si="2"/>
        <v>2027430.5388880558</v>
      </c>
      <c r="H35" s="232">
        <f t="shared" si="0"/>
        <v>0</v>
      </c>
      <c r="I35" s="231">
        <f t="shared" si="3"/>
        <v>2353218.4882090501</v>
      </c>
      <c r="J35" s="232">
        <f t="shared" si="4"/>
        <v>21330994.935170822</v>
      </c>
      <c r="K35" s="231">
        <f t="shared" si="5"/>
        <v>1742421.1667087558</v>
      </c>
      <c r="L35" s="282">
        <f t="shared" si="6"/>
        <v>4691202.8895703312</v>
      </c>
      <c r="M35" s="232"/>
      <c r="N35" s="231">
        <f>C9*C37</f>
        <v>68000000</v>
      </c>
      <c r="O35" s="231">
        <f t="shared" si="7"/>
        <v>87899127.630935296</v>
      </c>
    </row>
    <row r="36" spans="2:15">
      <c r="B36" s="131" t="s">
        <v>119</v>
      </c>
      <c r="C36" s="234">
        <v>100</v>
      </c>
      <c r="D36" s="229" t="s">
        <v>86</v>
      </c>
      <c r="E36" s="133"/>
      <c r="F36" s="134" t="s">
        <v>116</v>
      </c>
      <c r="G36" s="98">
        <f>NPV($C$38,G11:G35)+G10</f>
        <v>35303947.407465078</v>
      </c>
      <c r="H36" s="98">
        <f>NPV($C$38,H11:H35)+H10</f>
        <v>0</v>
      </c>
      <c r="I36" s="98">
        <f>NPV($C$38,I11:I35)+I10</f>
        <v>40976941.085030161</v>
      </c>
      <c r="J36" s="98">
        <f>NPV($C$38,J11:J35)+J10</f>
        <v>371439765.20803267</v>
      </c>
      <c r="K36" s="98">
        <f>NPV($C$38,K11:K35)+K10</f>
        <v>30341037.11630851</v>
      </c>
      <c r="L36" s="98">
        <f>NPV($C$35,L11:L35)+L10</f>
        <v>682291602.5083822</v>
      </c>
      <c r="M36" s="98">
        <f>NPV($C$38,M11:M35)+M10</f>
        <v>630936180.95890903</v>
      </c>
      <c r="N36" s="161">
        <f>NPV($C$38,N11:N35)+N10</f>
        <v>66019417.475728154</v>
      </c>
      <c r="O36" s="161">
        <f>NPV($C$38,O11:O35)+O10</f>
        <v>313058976.38507509</v>
      </c>
    </row>
    <row r="37" spans="2:15">
      <c r="B37" s="131" t="s">
        <v>93</v>
      </c>
      <c r="C37" s="241">
        <v>0.1</v>
      </c>
      <c r="D37" s="229" t="s">
        <v>120</v>
      </c>
      <c r="E37" s="133"/>
      <c r="F37" s="133"/>
      <c r="G37" s="133"/>
      <c r="H37" s="133"/>
      <c r="I37" s="133"/>
      <c r="J37" s="133"/>
      <c r="K37" s="133"/>
      <c r="L37" s="133"/>
      <c r="M37" s="133"/>
      <c r="N37" s="133"/>
      <c r="O37" s="133"/>
    </row>
    <row r="38" spans="2:15">
      <c r="B38" s="131" t="s">
        <v>121</v>
      </c>
      <c r="C38" s="241">
        <v>0.03</v>
      </c>
      <c r="D38" s="229" t="s">
        <v>104</v>
      </c>
      <c r="E38" s="133"/>
      <c r="F38" s="133"/>
      <c r="G38" s="133"/>
      <c r="H38" s="133"/>
      <c r="I38" s="133"/>
      <c r="J38" s="133"/>
      <c r="K38" s="133"/>
      <c r="L38" s="133"/>
      <c r="M38" s="133"/>
      <c r="N38" s="133"/>
      <c r="O38" s="133"/>
    </row>
    <row r="39" spans="2:15">
      <c r="B39" s="131" t="s">
        <v>227</v>
      </c>
      <c r="C39" s="241">
        <f>'Sc0-CBA'!C16</f>
        <v>0.95</v>
      </c>
      <c r="D39" s="257" t="s">
        <v>104</v>
      </c>
      <c r="E39" s="133"/>
      <c r="F39" s="133"/>
      <c r="G39" s="133"/>
      <c r="H39" s="133"/>
      <c r="I39" s="133"/>
      <c r="J39" s="133"/>
      <c r="K39" s="133"/>
      <c r="L39" s="133"/>
      <c r="M39" s="133"/>
      <c r="N39" s="133"/>
      <c r="O39" s="133"/>
    </row>
    <row r="40" spans="2:15">
      <c r="B40" s="131" t="str">
        <f>'Sc0-CBA'!B19</f>
        <v>Degree of efficiency of petroleum boiler</v>
      </c>
      <c r="C40" s="239">
        <f>'Sc0-CBA'!C19</f>
        <v>0.8</v>
      </c>
      <c r="D40" s="257" t="s">
        <v>104</v>
      </c>
      <c r="E40" s="133"/>
      <c r="F40" s="133"/>
      <c r="G40" s="133"/>
      <c r="H40" s="133"/>
      <c r="I40" s="133"/>
      <c r="J40" s="133"/>
      <c r="K40" s="133"/>
      <c r="L40" s="133"/>
      <c r="M40" s="133"/>
      <c r="N40" s="133"/>
      <c r="O40" s="133"/>
    </row>
    <row r="41" spans="2:15">
      <c r="B41" s="131" t="s">
        <v>108</v>
      </c>
      <c r="C41" s="239">
        <f>'Sc0-CBA'!C20</f>
        <v>0.3</v>
      </c>
      <c r="D41" s="257" t="s">
        <v>104</v>
      </c>
      <c r="E41" s="133"/>
      <c r="F41" s="133"/>
      <c r="G41" s="133"/>
      <c r="H41" s="160" t="str">
        <f>'Sc0-CBA'!G32</f>
        <v>Fuel share per households in the region</v>
      </c>
      <c r="I41" s="242"/>
      <c r="J41" s="133"/>
      <c r="K41" s="133"/>
      <c r="L41" s="133"/>
      <c r="M41" s="133"/>
      <c r="N41" s="133"/>
      <c r="O41" s="133"/>
    </row>
    <row r="42" spans="2:15">
      <c r="B42" s="131" t="str">
        <f>'Sc0-CBA'!B21</f>
        <v>Degree of efficiency of electric boiler</v>
      </c>
      <c r="C42" s="239">
        <f>'Sc0-CBA'!C21</f>
        <v>1</v>
      </c>
      <c r="D42" s="257" t="s">
        <v>104</v>
      </c>
      <c r="E42" s="133"/>
      <c r="F42" s="133"/>
      <c r="G42" s="133"/>
      <c r="H42" s="160"/>
      <c r="I42" s="242"/>
      <c r="J42" s="133"/>
      <c r="K42" s="133"/>
      <c r="L42" s="133"/>
      <c r="M42" s="133"/>
      <c r="N42" s="133"/>
      <c r="O42" s="133"/>
    </row>
    <row r="43" spans="2:15">
      <c r="B43" s="131" t="str">
        <f>'Sc0-CBA'!B27</f>
        <v>Petroleum price</v>
      </c>
      <c r="C43" s="276">
        <f>'Energy prices'!C7/1000</f>
        <v>0.11</v>
      </c>
      <c r="D43" s="229" t="s">
        <v>101</v>
      </c>
      <c r="E43" s="133"/>
      <c r="F43" s="133"/>
      <c r="G43" s="133"/>
      <c r="H43" s="246" t="str">
        <f>'Sc0-CBA'!G33</f>
        <v>Natural gas</v>
      </c>
      <c r="I43" s="272">
        <f>'Sc0-CBA'!H33</f>
        <v>0.48</v>
      </c>
      <c r="J43" s="133"/>
      <c r="K43" s="133"/>
      <c r="L43" s="133"/>
      <c r="M43" s="133"/>
      <c r="N43" s="133"/>
      <c r="O43" s="133"/>
    </row>
    <row r="44" spans="2:15">
      <c r="B44" s="131" t="s">
        <v>122</v>
      </c>
      <c r="C44" s="243">
        <f>'Energy prices'!C10/1000</f>
        <v>1.7000000000000001E-2</v>
      </c>
      <c r="D44" s="229" t="s">
        <v>101</v>
      </c>
      <c r="E44" s="133"/>
      <c r="F44" s="133"/>
      <c r="G44" s="133"/>
      <c r="H44" s="246" t="str">
        <f>'Sc0-CBA'!G34</f>
        <v>Petroleum derivatives</v>
      </c>
      <c r="I44" s="272">
        <f>'Sc0-CBA'!H34</f>
        <v>0.2</v>
      </c>
      <c r="J44" s="133"/>
      <c r="K44" s="133"/>
      <c r="L44" s="133"/>
      <c r="M44" s="133"/>
      <c r="N44" s="133"/>
      <c r="O44" s="133"/>
    </row>
    <row r="45" spans="2:15">
      <c r="B45" s="133"/>
      <c r="C45" s="248"/>
      <c r="D45" s="133"/>
      <c r="E45" s="133"/>
      <c r="F45" s="133"/>
      <c r="G45" s="133"/>
      <c r="H45" s="246" t="s">
        <v>128</v>
      </c>
      <c r="I45" s="272">
        <f>'Sc0-CBA'!H35</f>
        <v>0.19</v>
      </c>
      <c r="J45" s="133"/>
      <c r="K45" s="133"/>
      <c r="L45" s="133"/>
      <c r="M45" s="133"/>
      <c r="N45" s="133"/>
      <c r="O45" s="133"/>
    </row>
    <row r="46" spans="2:15">
      <c r="B46" s="135" t="s">
        <v>133</v>
      </c>
      <c r="C46" s="100">
        <f>NPV(C38,O11:O35)+O10</f>
        <v>313058976.38507509</v>
      </c>
      <c r="D46" s="133"/>
      <c r="E46" s="133"/>
      <c r="F46" s="133"/>
      <c r="G46" s="133"/>
      <c r="H46" s="246" t="s">
        <v>78</v>
      </c>
      <c r="I46" s="272">
        <f>'Sc0-CBA'!H36</f>
        <v>0</v>
      </c>
      <c r="J46" s="133"/>
      <c r="K46" s="133"/>
      <c r="L46" s="133"/>
      <c r="M46" s="133"/>
      <c r="N46" s="133"/>
      <c r="O46" s="133"/>
    </row>
    <row r="47" spans="2:15">
      <c r="B47" s="135" t="s">
        <v>134</v>
      </c>
      <c r="C47" s="101">
        <f>IRR(O10:O35)</f>
        <v>0.30185955063410619</v>
      </c>
      <c r="D47" s="133"/>
      <c r="E47" s="133"/>
      <c r="F47" s="133"/>
      <c r="G47" s="133"/>
      <c r="H47" s="246" t="s">
        <v>81</v>
      </c>
      <c r="I47" s="272">
        <f>'Sc0-CBA'!H37</f>
        <v>0.12</v>
      </c>
      <c r="J47" s="133"/>
      <c r="K47" s="133"/>
      <c r="L47" s="133"/>
      <c r="M47" s="133"/>
      <c r="N47" s="133"/>
      <c r="O47" s="133"/>
    </row>
    <row r="48" spans="2:15">
      <c r="B48" s="108" t="s">
        <v>135</v>
      </c>
      <c r="C48" s="102">
        <f>(H36+L36+J36+N36)/(G36+I36+K36+M36)</f>
        <v>1.5181865336725742</v>
      </c>
      <c r="D48" s="133"/>
      <c r="E48" s="133"/>
      <c r="F48" s="133"/>
      <c r="G48" s="133"/>
      <c r="H48" s="246" t="s">
        <v>116</v>
      </c>
      <c r="I48" s="272">
        <f>SUM(I43:I47)</f>
        <v>0.98999999999999988</v>
      </c>
      <c r="J48" s="133"/>
      <c r="K48" s="133"/>
      <c r="L48" s="133"/>
      <c r="M48" s="133"/>
      <c r="N48" s="133"/>
      <c r="O48" s="133"/>
    </row>
    <row r="49" spans="2:4">
      <c r="B49" s="233"/>
      <c r="C49" s="233"/>
      <c r="D49" s="133"/>
    </row>
    <row r="50" spans="2:4">
      <c r="B50" s="233"/>
      <c r="C50" s="248"/>
      <c r="D50" s="133"/>
    </row>
    <row r="51" spans="2:4">
      <c r="B51" s="103" t="s">
        <v>136</v>
      </c>
      <c r="C51" s="241">
        <v>0</v>
      </c>
      <c r="D51" s="229" t="s">
        <v>104</v>
      </c>
    </row>
    <row r="52" spans="2:4">
      <c r="B52" s="133"/>
      <c r="C52" s="133"/>
      <c r="D52" s="133"/>
    </row>
    <row r="53" spans="2:4">
      <c r="B53" s="152" t="s">
        <v>192</v>
      </c>
      <c r="C53" s="275">
        <f>'Sc0-SCBA'!C83</f>
        <v>0.21</v>
      </c>
      <c r="D53" s="133"/>
    </row>
    <row r="54" spans="2:4">
      <c r="B54" s="133"/>
      <c r="C54" s="133"/>
      <c r="D54" s="133"/>
    </row>
    <row r="59" spans="2:4">
      <c r="B59" s="131" t="s">
        <v>156</v>
      </c>
      <c r="C59" s="238">
        <v>1</v>
      </c>
      <c r="D59" s="229" t="s">
        <v>157</v>
      </c>
    </row>
    <row r="60" spans="2:4">
      <c r="B60" s="131" t="s">
        <v>158</v>
      </c>
      <c r="C60" s="258">
        <v>2</v>
      </c>
      <c r="D60" s="229" t="s">
        <v>159</v>
      </c>
    </row>
    <row r="61" spans="2:4">
      <c r="B61" s="131" t="s">
        <v>160</v>
      </c>
      <c r="C61" s="238">
        <v>0</v>
      </c>
      <c r="D61" s="259" t="s">
        <v>161</v>
      </c>
    </row>
    <row r="64" spans="2:4">
      <c r="B64" s="145" t="s">
        <v>162</v>
      </c>
      <c r="C64" s="249"/>
      <c r="D64" s="133"/>
    </row>
    <row r="65" spans="2:3">
      <c r="B65" s="216" t="s">
        <v>163</v>
      </c>
      <c r="C65" s="146" t="s">
        <v>164</v>
      </c>
    </row>
    <row r="66" spans="2:3">
      <c r="B66" s="217"/>
      <c r="C66" s="146" t="s">
        <v>165</v>
      </c>
    </row>
    <row r="67" spans="2:3">
      <c r="B67" s="147" t="s">
        <v>166</v>
      </c>
      <c r="C67" s="260">
        <f>externalities!D25</f>
        <v>51</v>
      </c>
    </row>
    <row r="68" spans="2:3">
      <c r="B68" s="147" t="s">
        <v>167</v>
      </c>
      <c r="C68" s="260">
        <f>externalities!D27</f>
        <v>43.4</v>
      </c>
    </row>
    <row r="69" spans="2:3">
      <c r="B69" s="147" t="s">
        <v>168</v>
      </c>
      <c r="C69" s="260">
        <f>externalities!D22</f>
        <v>36</v>
      </c>
    </row>
    <row r="70" spans="2:3">
      <c r="B70" s="147" t="s">
        <v>169</v>
      </c>
      <c r="C70" s="260">
        <f>externalities!D24</f>
        <v>32.200000000000003</v>
      </c>
    </row>
    <row r="71" spans="2:3">
      <c r="B71" s="147" t="s">
        <v>170</v>
      </c>
      <c r="C71" s="260">
        <f>externalities!D17</f>
        <v>36</v>
      </c>
    </row>
    <row r="72" spans="2:3">
      <c r="B72" s="147" t="s">
        <v>171</v>
      </c>
      <c r="C72" s="260">
        <f>externalities!D16</f>
        <v>21.8</v>
      </c>
    </row>
    <row r="73" spans="2:3">
      <c r="B73" s="147" t="s">
        <v>172</v>
      </c>
      <c r="C73" s="260">
        <f>externalities!D19</f>
        <v>48.5</v>
      </c>
    </row>
    <row r="74" spans="2:3">
      <c r="B74" s="147" t="s">
        <v>173</v>
      </c>
      <c r="C74" s="260">
        <f>externalities!D35</f>
        <v>24</v>
      </c>
    </row>
    <row r="75" spans="2:3">
      <c r="B75" s="147" t="s">
        <v>174</v>
      </c>
      <c r="C75" s="260">
        <f>externalities!D31</f>
        <v>9.6</v>
      </c>
    </row>
    <row r="76" spans="2:3">
      <c r="B76" s="147" t="s">
        <v>233</v>
      </c>
      <c r="C76" s="260">
        <f>externalities!D32</f>
        <v>57</v>
      </c>
    </row>
    <row r="77" spans="2:3">
      <c r="B77" s="147" t="s">
        <v>234</v>
      </c>
      <c r="C77" s="260">
        <f>externalities!D34</f>
        <v>174</v>
      </c>
    </row>
    <row r="78" spans="2:3">
      <c r="B78" s="147" t="s">
        <v>175</v>
      </c>
      <c r="C78" s="260">
        <f>externalities!D19</f>
        <v>48.5</v>
      </c>
    </row>
    <row r="79" spans="2:3">
      <c r="B79" s="147" t="str">
        <f>'Sc0-SCBA'!B63</f>
        <v>District heating (lignite)</v>
      </c>
      <c r="C79" s="260">
        <f>externalities!D36</f>
        <v>58</v>
      </c>
    </row>
    <row r="81" spans="2:4">
      <c r="B81" s="145" t="s">
        <v>177</v>
      </c>
      <c r="C81" s="249"/>
      <c r="D81" s="133"/>
    </row>
    <row r="82" spans="2:4">
      <c r="B82" s="146" t="s">
        <v>178</v>
      </c>
      <c r="C82" s="261">
        <v>0.03</v>
      </c>
      <c r="D82" s="262"/>
    </row>
    <row r="83" spans="2:4">
      <c r="B83" s="146" t="s">
        <v>179</v>
      </c>
      <c r="C83" s="238">
        <f>C84+C85</f>
        <v>16950345.908073716</v>
      </c>
      <c r="D83" s="262" t="s">
        <v>86</v>
      </c>
    </row>
    <row r="84" spans="2:4">
      <c r="B84" s="148" t="s">
        <v>180</v>
      </c>
      <c r="C84" s="238">
        <f>J11-I11</f>
        <v>18977776.446961772</v>
      </c>
      <c r="D84" s="262" t="s">
        <v>86</v>
      </c>
    </row>
    <row r="85" spans="2:4">
      <c r="B85" s="148" t="s">
        <v>181</v>
      </c>
      <c r="C85" s="238">
        <f>H11-G11</f>
        <v>-2027430.5388880558</v>
      </c>
      <c r="D85" s="262" t="s">
        <v>86</v>
      </c>
    </row>
    <row r="86" spans="2:4">
      <c r="B86" s="131" t="s">
        <v>182</v>
      </c>
      <c r="C86" s="234">
        <f>IF(externalities!C12=1,C83/C82,0)</f>
        <v>565011530.26912391</v>
      </c>
      <c r="D86" s="262" t="s">
        <v>86</v>
      </c>
    </row>
    <row r="88" spans="2:4">
      <c r="B88" s="145" t="s">
        <v>183</v>
      </c>
      <c r="C88" s="249"/>
      <c r="D88" s="133"/>
    </row>
    <row r="89" spans="2:4">
      <c r="B89" s="149" t="s">
        <v>183</v>
      </c>
      <c r="C89" s="146" t="s">
        <v>164</v>
      </c>
      <c r="D89" s="150"/>
    </row>
    <row r="90" spans="2:4">
      <c r="B90" s="147" t="s">
        <v>184</v>
      </c>
      <c r="C90" s="151">
        <v>5</v>
      </c>
      <c r="D90" s="133"/>
    </row>
    <row r="91" spans="2:4">
      <c r="B91" s="147" t="s">
        <v>185</v>
      </c>
      <c r="C91" s="151">
        <v>4</v>
      </c>
      <c r="D91" s="133"/>
    </row>
    <row r="92" spans="2:4">
      <c r="B92" s="147" t="s">
        <v>186</v>
      </c>
      <c r="C92" s="151">
        <v>3</v>
      </c>
      <c r="D92" s="133"/>
    </row>
    <row r="93" spans="2:4">
      <c r="B93" s="147" t="s">
        <v>187</v>
      </c>
      <c r="C93" s="151">
        <v>2</v>
      </c>
      <c r="D93" s="133"/>
    </row>
    <row r="94" spans="2:4">
      <c r="B94" s="147" t="s">
        <v>188</v>
      </c>
      <c r="C94" s="151">
        <v>1</v>
      </c>
      <c r="D94" s="133"/>
    </row>
    <row r="96" spans="2:4">
      <c r="B96" s="151" t="s">
        <v>189</v>
      </c>
      <c r="C96" s="274">
        <f>(IF(C61=1,0.2,IF(C61=2,0.4,IF(C61=3,0.6,IF(C61=4,0.8,IF(C61=5,1,0))))))</f>
        <v>0</v>
      </c>
      <c r="D96" s="151" t="s">
        <v>190</v>
      </c>
    </row>
    <row r="97" spans="2:4">
      <c r="B97" s="151" t="s">
        <v>189</v>
      </c>
      <c r="C97" s="239">
        <v>0.1</v>
      </c>
      <c r="D97" s="151" t="s">
        <v>191</v>
      </c>
    </row>
  </sheetData>
  <sheetProtection algorithmName="SHA-512" hashValue="tDm3Pw7V2Ms1OJicgnyLggij7vH2Xn1N8BuhoajlNDGuuAEDe7AAYzBmZ3TEZ/i0siyBpKkRPCPaAV5LB789FQ==" saltValue="6lKfnWBAm0pBnwngKkR48Q==" spinCount="100000" sheet="1" objects="1" scenarios="1" selectLockedCells="1"/>
  <mergeCells count="3">
    <mergeCell ref="B65:B66"/>
    <mergeCell ref="C1:N3"/>
    <mergeCell ref="B4:D4"/>
  </mergeCells>
  <pageMargins left="0.7" right="0.7" top="0.75" bottom="0.75" header="0.3" footer="0.3"/>
  <pageSetup orientation="portrait" horizontalDpi="4294967293" verticalDpi="4294967293" r:id="rId1"/>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BD139-F7B5-49B5-8CF9-0CD28C419314}">
  <sheetPr>
    <tabColor theme="7" tint="0.59999389629810485"/>
  </sheetPr>
  <dimension ref="B2:M29"/>
  <sheetViews>
    <sheetView zoomScale="85" zoomScaleNormal="85" workbookViewId="0">
      <selection activeCell="H34" sqref="H34"/>
    </sheetView>
  </sheetViews>
  <sheetFormatPr defaultColWidth="8.85546875" defaultRowHeight="14.45"/>
  <cols>
    <col min="1" max="1" width="3.5703125" style="1" customWidth="1"/>
    <col min="2" max="2" width="58" style="1" customWidth="1"/>
    <col min="3" max="3" width="20.5703125" style="12" customWidth="1"/>
    <col min="4" max="4" width="20.140625" style="1" bestFit="1" customWidth="1"/>
    <col min="5" max="6" width="8.85546875" style="1"/>
    <col min="7" max="7" width="14.5703125" style="1" bestFit="1" customWidth="1"/>
    <col min="8" max="8" width="13.42578125" style="1" bestFit="1" customWidth="1"/>
    <col min="9" max="9" width="16.5703125" style="1" bestFit="1" customWidth="1"/>
    <col min="10" max="10" width="17" style="1" bestFit="1" customWidth="1"/>
    <col min="11" max="11" width="18.42578125" style="1" bestFit="1" customWidth="1"/>
    <col min="12" max="12" width="18.5703125" style="1" bestFit="1" customWidth="1"/>
    <col min="13" max="13" width="20" style="1" bestFit="1" customWidth="1"/>
    <col min="14" max="16384" width="8.85546875" style="1"/>
  </cols>
  <sheetData>
    <row r="2" spans="2:13">
      <c r="B2" s="18" t="s">
        <v>85</v>
      </c>
      <c r="C2" s="2">
        <v>1500000000</v>
      </c>
      <c r="D2" s="23" t="s">
        <v>86</v>
      </c>
      <c r="F2" s="27" t="s">
        <v>87</v>
      </c>
      <c r="G2" s="27" t="s">
        <v>88</v>
      </c>
      <c r="H2" s="27" t="s">
        <v>89</v>
      </c>
      <c r="I2" s="27" t="s">
        <v>90</v>
      </c>
      <c r="J2" s="27" t="s">
        <v>91</v>
      </c>
      <c r="K2" s="27" t="s">
        <v>92</v>
      </c>
      <c r="L2" s="27" t="s">
        <v>93</v>
      </c>
      <c r="M2" s="27" t="s">
        <v>94</v>
      </c>
    </row>
    <row r="3" spans="2:13">
      <c r="B3" s="18" t="s">
        <v>236</v>
      </c>
      <c r="C3" s="2">
        <f>C5*C6*1000</f>
        <v>1500000000</v>
      </c>
      <c r="D3" s="23" t="s">
        <v>86</v>
      </c>
      <c r="F3" s="28">
        <v>0</v>
      </c>
      <c r="G3" s="3"/>
      <c r="H3" s="3"/>
      <c r="I3" s="3"/>
      <c r="J3" s="3"/>
      <c r="K3" s="3">
        <f>C2</f>
        <v>1500000000</v>
      </c>
      <c r="L3" s="3"/>
      <c r="M3" s="3">
        <f>(H3+J3+L3)-(G3+I3+K3)</f>
        <v>-1500000000</v>
      </c>
    </row>
    <row r="4" spans="2:13">
      <c r="B4" s="18" t="s">
        <v>237</v>
      </c>
      <c r="C4" s="2">
        <f>C3*(1-C20)</f>
        <v>1500000000</v>
      </c>
      <c r="D4" s="23" t="s">
        <v>86</v>
      </c>
      <c r="F4" s="28">
        <v>1</v>
      </c>
      <c r="G4" s="3">
        <f>$C$12*$C$4</f>
        <v>22500000</v>
      </c>
      <c r="H4" s="3">
        <f t="shared" ref="H4:H28" si="0">$C$11</f>
        <v>0</v>
      </c>
      <c r="I4" s="3">
        <v>0</v>
      </c>
      <c r="J4" s="3">
        <f>$C$8*($C$9-$C$10)*$C$7</f>
        <v>357408000</v>
      </c>
      <c r="K4" s="3"/>
      <c r="L4" s="3"/>
      <c r="M4" s="3">
        <f>(H4+J4+L4)-(G4+I4+K4)</f>
        <v>334908000</v>
      </c>
    </row>
    <row r="5" spans="2:13">
      <c r="B5" s="18" t="s">
        <v>238</v>
      </c>
      <c r="C5" s="2">
        <v>2000</v>
      </c>
      <c r="D5" s="23" t="s">
        <v>239</v>
      </c>
      <c r="F5" s="28">
        <v>2</v>
      </c>
      <c r="G5" s="3">
        <f t="shared" ref="G5:G28" si="1">$C$12*$C$4</f>
        <v>22500000</v>
      </c>
      <c r="H5" s="3">
        <f t="shared" si="0"/>
        <v>0</v>
      </c>
      <c r="I5" s="3">
        <v>0</v>
      </c>
      <c r="J5" s="3">
        <f t="shared" ref="J5:J28" si="2">$C$8*($C$9-$C$10)*$C$7</f>
        <v>357408000</v>
      </c>
      <c r="K5" s="3"/>
      <c r="L5" s="3"/>
      <c r="M5" s="3">
        <f t="shared" ref="M5:M28" si="3">(H5+J5+L5)-(G5+I5+K5)</f>
        <v>334908000</v>
      </c>
    </row>
    <row r="6" spans="2:13">
      <c r="B6" s="18" t="s">
        <v>240</v>
      </c>
      <c r="C6" s="31">
        <v>750</v>
      </c>
      <c r="D6" s="23" t="s">
        <v>216</v>
      </c>
      <c r="F6" s="28">
        <v>3</v>
      </c>
      <c r="G6" s="3">
        <f t="shared" si="1"/>
        <v>22500000</v>
      </c>
      <c r="H6" s="3">
        <f t="shared" si="0"/>
        <v>0</v>
      </c>
      <c r="I6" s="3">
        <v>0</v>
      </c>
      <c r="J6" s="3">
        <f t="shared" si="2"/>
        <v>357408000</v>
      </c>
      <c r="K6" s="3"/>
      <c r="L6" s="3"/>
      <c r="M6" s="3">
        <f t="shared" si="3"/>
        <v>334908000</v>
      </c>
    </row>
    <row r="7" spans="2:13">
      <c r="B7" s="18" t="s">
        <v>241</v>
      </c>
      <c r="C7" s="36">
        <f>17%*8760*C5*1000/C8</f>
        <v>744600</v>
      </c>
      <c r="D7" s="23" t="s">
        <v>242</v>
      </c>
      <c r="F7" s="28">
        <v>4</v>
      </c>
      <c r="G7" s="3">
        <f t="shared" si="1"/>
        <v>22500000</v>
      </c>
      <c r="H7" s="3">
        <f t="shared" si="0"/>
        <v>0</v>
      </c>
      <c r="I7" s="3">
        <v>0</v>
      </c>
      <c r="J7" s="3">
        <f t="shared" si="2"/>
        <v>357408000</v>
      </c>
      <c r="K7" s="3"/>
      <c r="L7" s="3"/>
      <c r="M7" s="3">
        <f t="shared" si="3"/>
        <v>334908000</v>
      </c>
    </row>
    <row r="8" spans="2:13">
      <c r="B8" s="18" t="s">
        <v>243</v>
      </c>
      <c r="C8" s="2">
        <v>4000</v>
      </c>
      <c r="D8" s="23" t="s">
        <v>101</v>
      </c>
      <c r="F8" s="28">
        <v>5</v>
      </c>
      <c r="G8" s="3">
        <f t="shared" si="1"/>
        <v>22500000</v>
      </c>
      <c r="H8" s="3">
        <f t="shared" si="0"/>
        <v>0</v>
      </c>
      <c r="I8" s="3">
        <v>0</v>
      </c>
      <c r="J8" s="3">
        <f t="shared" si="2"/>
        <v>357408000</v>
      </c>
      <c r="K8" s="3"/>
      <c r="L8" s="3"/>
      <c r="M8" s="3">
        <f t="shared" si="3"/>
        <v>334908000</v>
      </c>
    </row>
    <row r="9" spans="2:13">
      <c r="B9" s="18" t="s">
        <v>244</v>
      </c>
      <c r="C9" s="13">
        <f>'Energy prices'!$C$6/1000</f>
        <v>0.24</v>
      </c>
      <c r="D9" s="23" t="s">
        <v>114</v>
      </c>
      <c r="F9" s="28">
        <v>6</v>
      </c>
      <c r="G9" s="3">
        <f t="shared" si="1"/>
        <v>22500000</v>
      </c>
      <c r="H9" s="3">
        <f t="shared" si="0"/>
        <v>0</v>
      </c>
      <c r="I9" s="3">
        <v>0</v>
      </c>
      <c r="J9" s="3">
        <f t="shared" si="2"/>
        <v>357408000</v>
      </c>
      <c r="K9" s="3"/>
      <c r="L9" s="3"/>
      <c r="M9" s="3">
        <f t="shared" si="3"/>
        <v>334908000</v>
      </c>
    </row>
    <row r="10" spans="2:13">
      <c r="B10" s="18" t="s">
        <v>245</v>
      </c>
      <c r="C10" s="34">
        <v>0.12</v>
      </c>
      <c r="D10" s="23" t="s">
        <v>114</v>
      </c>
      <c r="F10" s="28">
        <v>7</v>
      </c>
      <c r="G10" s="3">
        <f t="shared" si="1"/>
        <v>22500000</v>
      </c>
      <c r="H10" s="3">
        <f t="shared" si="0"/>
        <v>0</v>
      </c>
      <c r="I10" s="3">
        <v>0</v>
      </c>
      <c r="J10" s="3">
        <f t="shared" si="2"/>
        <v>357408000</v>
      </c>
      <c r="K10" s="3"/>
      <c r="L10" s="3"/>
      <c r="M10" s="3">
        <f t="shared" si="3"/>
        <v>334908000</v>
      </c>
    </row>
    <row r="11" spans="2:13">
      <c r="B11" s="18" t="s">
        <v>246</v>
      </c>
      <c r="C11" s="2">
        <v>0</v>
      </c>
      <c r="D11" s="23" t="s">
        <v>86</v>
      </c>
      <c r="F11" s="28">
        <v>8</v>
      </c>
      <c r="G11" s="3">
        <f t="shared" si="1"/>
        <v>22500000</v>
      </c>
      <c r="H11" s="3">
        <f t="shared" si="0"/>
        <v>0</v>
      </c>
      <c r="I11" s="3">
        <v>0</v>
      </c>
      <c r="J11" s="3">
        <f t="shared" si="2"/>
        <v>357408000</v>
      </c>
      <c r="K11" s="3"/>
      <c r="L11" s="3"/>
      <c r="M11" s="3">
        <f t="shared" si="3"/>
        <v>334908000</v>
      </c>
    </row>
    <row r="12" spans="2:13">
      <c r="B12" s="18" t="s">
        <v>247</v>
      </c>
      <c r="C12" s="5">
        <v>1.4999999999999999E-2</v>
      </c>
      <c r="D12" s="23" t="s">
        <v>248</v>
      </c>
      <c r="F12" s="28">
        <v>9</v>
      </c>
      <c r="G12" s="3">
        <f t="shared" si="1"/>
        <v>22500000</v>
      </c>
      <c r="H12" s="3">
        <f t="shared" si="0"/>
        <v>0</v>
      </c>
      <c r="I12" s="3">
        <v>0</v>
      </c>
      <c r="J12" s="3">
        <f t="shared" si="2"/>
        <v>357408000</v>
      </c>
      <c r="K12" s="3"/>
      <c r="L12" s="3"/>
      <c r="M12" s="3">
        <f t="shared" si="3"/>
        <v>334908000</v>
      </c>
    </row>
    <row r="13" spans="2:13">
      <c r="B13" s="18" t="s">
        <v>249</v>
      </c>
      <c r="C13" s="10">
        <v>0</v>
      </c>
      <c r="D13" s="23" t="s">
        <v>248</v>
      </c>
      <c r="F13" s="28">
        <v>10</v>
      </c>
      <c r="G13" s="3">
        <f t="shared" si="1"/>
        <v>22500000</v>
      </c>
      <c r="H13" s="3">
        <f t="shared" si="0"/>
        <v>0</v>
      </c>
      <c r="I13" s="3">
        <v>0</v>
      </c>
      <c r="J13" s="3">
        <f t="shared" si="2"/>
        <v>357408000</v>
      </c>
      <c r="K13" s="3"/>
      <c r="L13" s="3"/>
      <c r="M13" s="3">
        <f t="shared" si="3"/>
        <v>334908000</v>
      </c>
    </row>
    <row r="14" spans="2:13">
      <c r="B14" s="18" t="s">
        <v>250</v>
      </c>
      <c r="C14" s="10">
        <v>0.03</v>
      </c>
      <c r="D14" s="23" t="s">
        <v>104</v>
      </c>
      <c r="F14" s="28">
        <v>11</v>
      </c>
      <c r="G14" s="3">
        <f t="shared" si="1"/>
        <v>22500000</v>
      </c>
      <c r="H14" s="3">
        <f t="shared" si="0"/>
        <v>0</v>
      </c>
      <c r="I14" s="3">
        <v>0</v>
      </c>
      <c r="J14" s="3">
        <f t="shared" si="2"/>
        <v>357408000</v>
      </c>
      <c r="K14" s="3"/>
      <c r="L14" s="3"/>
      <c r="M14" s="3">
        <f t="shared" si="3"/>
        <v>334908000</v>
      </c>
    </row>
    <row r="15" spans="2:13">
      <c r="F15" s="28">
        <v>12</v>
      </c>
      <c r="G15" s="3">
        <f t="shared" si="1"/>
        <v>22500000</v>
      </c>
      <c r="H15" s="3">
        <f t="shared" si="0"/>
        <v>0</v>
      </c>
      <c r="I15" s="3">
        <v>0</v>
      </c>
      <c r="J15" s="3">
        <f t="shared" si="2"/>
        <v>357408000</v>
      </c>
      <c r="K15" s="3"/>
      <c r="L15" s="3"/>
      <c r="M15" s="3">
        <f t="shared" si="3"/>
        <v>334908000</v>
      </c>
    </row>
    <row r="16" spans="2:13">
      <c r="B16" s="14" t="s">
        <v>133</v>
      </c>
      <c r="C16" s="15">
        <f>NPV(C14,M4:M28)+M3</f>
        <v>4331802466.9905367</v>
      </c>
      <c r="F16" s="28">
        <v>13</v>
      </c>
      <c r="G16" s="3">
        <f t="shared" si="1"/>
        <v>22500000</v>
      </c>
      <c r="H16" s="3">
        <f t="shared" si="0"/>
        <v>0</v>
      </c>
      <c r="I16" s="3">
        <v>0</v>
      </c>
      <c r="J16" s="3">
        <f t="shared" si="2"/>
        <v>357408000</v>
      </c>
      <c r="K16" s="3"/>
      <c r="L16" s="3"/>
      <c r="M16" s="3">
        <f t="shared" si="3"/>
        <v>334908000</v>
      </c>
    </row>
    <row r="17" spans="2:13">
      <c r="B17" s="14" t="s">
        <v>134</v>
      </c>
      <c r="C17" s="16">
        <f>IRR(M3:M28)</f>
        <v>0.22177914874971272</v>
      </c>
      <c r="F17" s="28">
        <v>14</v>
      </c>
      <c r="G17" s="3">
        <f t="shared" si="1"/>
        <v>22500000</v>
      </c>
      <c r="H17" s="3">
        <f t="shared" si="0"/>
        <v>0</v>
      </c>
      <c r="I17" s="3">
        <v>0</v>
      </c>
      <c r="J17" s="3">
        <f t="shared" si="2"/>
        <v>357408000</v>
      </c>
      <c r="K17" s="3"/>
      <c r="L17" s="3"/>
      <c r="M17" s="3">
        <f t="shared" si="3"/>
        <v>334908000</v>
      </c>
    </row>
    <row r="18" spans="2:13">
      <c r="B18" s="14" t="s">
        <v>135</v>
      </c>
      <c r="C18" s="17">
        <f>(H29+J29+L29)/(G29+I29+K29)</f>
        <v>3.2897832917286487</v>
      </c>
      <c r="F18" s="28">
        <v>15</v>
      </c>
      <c r="G18" s="3">
        <f t="shared" si="1"/>
        <v>22500000</v>
      </c>
      <c r="H18" s="3">
        <f t="shared" si="0"/>
        <v>0</v>
      </c>
      <c r="I18" s="3">
        <v>0</v>
      </c>
      <c r="J18" s="3">
        <f t="shared" si="2"/>
        <v>357408000</v>
      </c>
      <c r="K18" s="3"/>
      <c r="L18" s="3"/>
      <c r="M18" s="3">
        <f t="shared" si="3"/>
        <v>334908000</v>
      </c>
    </row>
    <row r="19" spans="2:13">
      <c r="F19" s="28">
        <v>16</v>
      </c>
      <c r="G19" s="3">
        <f t="shared" si="1"/>
        <v>22500000</v>
      </c>
      <c r="H19" s="3">
        <f t="shared" si="0"/>
        <v>0</v>
      </c>
      <c r="I19" s="3">
        <v>0</v>
      </c>
      <c r="J19" s="3">
        <f t="shared" si="2"/>
        <v>357408000</v>
      </c>
      <c r="K19" s="3"/>
      <c r="L19" s="3"/>
      <c r="M19" s="3">
        <f t="shared" si="3"/>
        <v>334908000</v>
      </c>
    </row>
    <row r="20" spans="2:13">
      <c r="B20" s="18" t="s">
        <v>136</v>
      </c>
      <c r="C20" s="10">
        <v>0</v>
      </c>
      <c r="D20" s="23" t="s">
        <v>104</v>
      </c>
      <c r="F20" s="28">
        <v>17</v>
      </c>
      <c r="G20" s="3">
        <f t="shared" si="1"/>
        <v>22500000</v>
      </c>
      <c r="H20" s="3">
        <f t="shared" si="0"/>
        <v>0</v>
      </c>
      <c r="I20" s="3">
        <v>0</v>
      </c>
      <c r="J20" s="3">
        <f t="shared" si="2"/>
        <v>357408000</v>
      </c>
      <c r="K20" s="3"/>
      <c r="L20" s="3"/>
      <c r="M20" s="3">
        <f t="shared" si="3"/>
        <v>334908000</v>
      </c>
    </row>
    <row r="21" spans="2:13">
      <c r="C21" s="1"/>
      <c r="F21" s="28">
        <v>18</v>
      </c>
      <c r="G21" s="3">
        <f t="shared" si="1"/>
        <v>22500000</v>
      </c>
      <c r="H21" s="3">
        <f t="shared" si="0"/>
        <v>0</v>
      </c>
      <c r="I21" s="3">
        <v>0</v>
      </c>
      <c r="J21" s="3">
        <f t="shared" si="2"/>
        <v>357408000</v>
      </c>
      <c r="K21" s="3"/>
      <c r="L21" s="3"/>
      <c r="M21" s="3">
        <f t="shared" si="3"/>
        <v>334908000</v>
      </c>
    </row>
    <row r="22" spans="2:13">
      <c r="B22" s="8"/>
      <c r="C22" s="1"/>
      <c r="F22" s="28">
        <v>19</v>
      </c>
      <c r="G22" s="3">
        <f t="shared" si="1"/>
        <v>22500000</v>
      </c>
      <c r="H22" s="3">
        <f t="shared" si="0"/>
        <v>0</v>
      </c>
      <c r="I22" s="3">
        <v>0</v>
      </c>
      <c r="J22" s="3">
        <f t="shared" si="2"/>
        <v>357408000</v>
      </c>
      <c r="K22" s="3"/>
      <c r="L22" s="3"/>
      <c r="M22" s="3">
        <f t="shared" si="3"/>
        <v>334908000</v>
      </c>
    </row>
    <row r="23" spans="2:13">
      <c r="C23" s="1"/>
      <c r="F23" s="28">
        <v>20</v>
      </c>
      <c r="G23" s="3">
        <f t="shared" si="1"/>
        <v>22500000</v>
      </c>
      <c r="H23" s="3">
        <f t="shared" si="0"/>
        <v>0</v>
      </c>
      <c r="I23" s="3">
        <v>0</v>
      </c>
      <c r="J23" s="3">
        <f t="shared" si="2"/>
        <v>357408000</v>
      </c>
      <c r="K23" s="3"/>
      <c r="L23" s="3"/>
      <c r="M23" s="3">
        <f t="shared" si="3"/>
        <v>334908000</v>
      </c>
    </row>
    <row r="24" spans="2:13">
      <c r="F24" s="28">
        <v>21</v>
      </c>
      <c r="G24" s="3">
        <f t="shared" si="1"/>
        <v>22500000</v>
      </c>
      <c r="H24" s="3">
        <f t="shared" si="0"/>
        <v>0</v>
      </c>
      <c r="I24" s="3">
        <v>0</v>
      </c>
      <c r="J24" s="3">
        <f t="shared" si="2"/>
        <v>357408000</v>
      </c>
      <c r="K24" s="3"/>
      <c r="L24" s="3"/>
      <c r="M24" s="3">
        <f t="shared" si="3"/>
        <v>334908000</v>
      </c>
    </row>
    <row r="25" spans="2:13">
      <c r="F25" s="28">
        <v>22</v>
      </c>
      <c r="G25" s="3">
        <f t="shared" si="1"/>
        <v>22500000</v>
      </c>
      <c r="H25" s="3">
        <f t="shared" si="0"/>
        <v>0</v>
      </c>
      <c r="I25" s="3">
        <v>0</v>
      </c>
      <c r="J25" s="3">
        <f t="shared" si="2"/>
        <v>357408000</v>
      </c>
      <c r="K25" s="3"/>
      <c r="L25" s="3"/>
      <c r="M25" s="3">
        <f t="shared" si="3"/>
        <v>334908000</v>
      </c>
    </row>
    <row r="26" spans="2:13">
      <c r="F26" s="28">
        <v>23</v>
      </c>
      <c r="G26" s="3">
        <f t="shared" si="1"/>
        <v>22500000</v>
      </c>
      <c r="H26" s="3">
        <f t="shared" si="0"/>
        <v>0</v>
      </c>
      <c r="I26" s="3">
        <v>0</v>
      </c>
      <c r="J26" s="3">
        <f t="shared" si="2"/>
        <v>357408000</v>
      </c>
      <c r="K26" s="3"/>
      <c r="L26" s="3"/>
      <c r="M26" s="3">
        <f t="shared" si="3"/>
        <v>334908000</v>
      </c>
    </row>
    <row r="27" spans="2:13">
      <c r="F27" s="28">
        <v>24</v>
      </c>
      <c r="G27" s="3">
        <f t="shared" si="1"/>
        <v>22500000</v>
      </c>
      <c r="H27" s="3">
        <f t="shared" si="0"/>
        <v>0</v>
      </c>
      <c r="I27" s="3">
        <v>0</v>
      </c>
      <c r="J27" s="3">
        <f t="shared" si="2"/>
        <v>357408000</v>
      </c>
      <c r="K27" s="3"/>
      <c r="L27" s="3"/>
      <c r="M27" s="3">
        <f t="shared" si="3"/>
        <v>334908000</v>
      </c>
    </row>
    <row r="28" spans="2:13">
      <c r="F28" s="28">
        <v>25</v>
      </c>
      <c r="G28" s="3">
        <f t="shared" si="1"/>
        <v>22500000</v>
      </c>
      <c r="H28" s="3">
        <f t="shared" si="0"/>
        <v>0</v>
      </c>
      <c r="I28" s="3">
        <v>0</v>
      </c>
      <c r="J28" s="3">
        <f t="shared" si="2"/>
        <v>357408000</v>
      </c>
      <c r="K28" s="3"/>
      <c r="L28" s="3">
        <f>C2*C13</f>
        <v>0</v>
      </c>
      <c r="M28" s="3">
        <f t="shared" si="3"/>
        <v>334908000</v>
      </c>
    </row>
    <row r="29" spans="2:13">
      <c r="F29" s="29" t="s">
        <v>116</v>
      </c>
      <c r="G29" s="32">
        <f>NPV($C$14,G4:G28)+G3</f>
        <v>391795823.05375528</v>
      </c>
      <c r="H29" s="32">
        <f t="shared" ref="H29:M29" si="4">NPV($C$14,H4:H28)+H3</f>
        <v>0</v>
      </c>
      <c r="I29" s="32">
        <f t="shared" si="4"/>
        <v>0</v>
      </c>
      <c r="J29" s="32">
        <f t="shared" si="4"/>
        <v>6223598290.0442915</v>
      </c>
      <c r="K29" s="32">
        <f t="shared" si="4"/>
        <v>1500000000</v>
      </c>
      <c r="L29" s="32">
        <f t="shared" si="4"/>
        <v>0</v>
      </c>
      <c r="M29" s="32">
        <f t="shared" si="4"/>
        <v>4331802466.9905367</v>
      </c>
    </row>
  </sheetData>
  <pageMargins left="0.7" right="0.7" top="0.75" bottom="0.75" header="0.3" footer="0.3"/>
  <pageSetup orientation="portrait" horizontalDpi="4294967293" verticalDpi="4294967293"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54A11-51F7-4EA4-B209-4ACF19B3AF0F}">
  <sheetPr>
    <tabColor theme="7" tint="0.59999389629810485"/>
  </sheetPr>
  <dimension ref="B2:O32"/>
  <sheetViews>
    <sheetView zoomScale="85" zoomScaleNormal="85" workbookViewId="0">
      <selection activeCell="B2" sqref="B2"/>
    </sheetView>
  </sheetViews>
  <sheetFormatPr defaultColWidth="8.85546875" defaultRowHeight="14.45"/>
  <cols>
    <col min="1" max="1" width="3.5703125" style="1" customWidth="1"/>
    <col min="2" max="2" width="56.85546875" style="1" customWidth="1"/>
    <col min="3" max="3" width="20.5703125" style="12" customWidth="1"/>
    <col min="4" max="4" width="15.5703125" style="1" bestFit="1" customWidth="1"/>
    <col min="5" max="6" width="8.85546875" style="1"/>
    <col min="7" max="7" width="14.5703125" style="1" bestFit="1" customWidth="1"/>
    <col min="8" max="8" width="13.42578125" style="1" bestFit="1" customWidth="1"/>
    <col min="9" max="9" width="16.5703125" style="1" bestFit="1" customWidth="1"/>
    <col min="10" max="10" width="17" style="1" bestFit="1" customWidth="1"/>
    <col min="11" max="11" width="17.42578125" style="1" bestFit="1" customWidth="1"/>
    <col min="12" max="13" width="18.42578125" style="1" bestFit="1" customWidth="1"/>
    <col min="14" max="14" width="18.5703125" style="1" bestFit="1" customWidth="1"/>
    <col min="15" max="15" width="20" style="1" bestFit="1" customWidth="1"/>
    <col min="16" max="16384" width="8.85546875" style="1"/>
  </cols>
  <sheetData>
    <row r="2" spans="2:15">
      <c r="B2" s="18" t="s">
        <v>251</v>
      </c>
      <c r="C2" s="2">
        <v>1500000000</v>
      </c>
      <c r="D2" s="23" t="s">
        <v>86</v>
      </c>
      <c r="F2" s="27" t="s">
        <v>87</v>
      </c>
      <c r="G2" s="27" t="s">
        <v>88</v>
      </c>
      <c r="H2" s="27" t="s">
        <v>89</v>
      </c>
      <c r="I2" s="27" t="s">
        <v>90</v>
      </c>
      <c r="J2" s="27" t="s">
        <v>91</v>
      </c>
      <c r="K2" s="27" t="s">
        <v>148</v>
      </c>
      <c r="L2" s="27" t="s">
        <v>149</v>
      </c>
      <c r="M2" s="27" t="s">
        <v>92</v>
      </c>
      <c r="N2" s="27" t="s">
        <v>93</v>
      </c>
      <c r="O2" s="27" t="s">
        <v>94</v>
      </c>
    </row>
    <row r="3" spans="2:15">
      <c r="B3" s="18" t="s">
        <v>252</v>
      </c>
      <c r="C3" s="2">
        <f>C5*C7</f>
        <v>1500000</v>
      </c>
      <c r="D3" s="23" t="s">
        <v>86</v>
      </c>
      <c r="F3" s="28">
        <v>0</v>
      </c>
      <c r="G3" s="3"/>
      <c r="H3" s="3"/>
      <c r="I3" s="3"/>
      <c r="J3" s="3"/>
      <c r="K3" s="3"/>
      <c r="L3" s="3"/>
      <c r="M3" s="33">
        <f>C2/1.24</f>
        <v>1209677419.3548386</v>
      </c>
      <c r="N3" s="3"/>
      <c r="O3" s="3">
        <f>(H3+J3+N3)-(G3+I3+M3)</f>
        <v>-1209677419.3548386</v>
      </c>
    </row>
    <row r="4" spans="2:15">
      <c r="B4" s="18" t="s">
        <v>241</v>
      </c>
      <c r="C4" s="36">
        <f>'Sc3-FA (2)'!C7</f>
        <v>744600</v>
      </c>
      <c r="D4" s="23" t="s">
        <v>152</v>
      </c>
      <c r="F4" s="28">
        <v>1</v>
      </c>
      <c r="G4" s="3">
        <f>$C$12*$C$4/1.24</f>
        <v>60048387.096774191</v>
      </c>
      <c r="H4" s="3">
        <f t="shared" ref="H4:H28" si="0">$C$11</f>
        <v>0</v>
      </c>
      <c r="I4" s="3">
        <v>0</v>
      </c>
      <c r="J4" s="3" t="e">
        <f>$C$8*($C$9-$C$10)*$C$4</f>
        <v>#REF!</v>
      </c>
      <c r="K4" s="3">
        <f>$C$5*$C$6*8760*$C$31</f>
        <v>71481600</v>
      </c>
      <c r="L4" s="3">
        <f>$C$5*$C$6*8760*$C$30</f>
        <v>144452400</v>
      </c>
      <c r="M4" s="3"/>
      <c r="N4" s="3"/>
      <c r="O4" s="3" t="e">
        <f>(H4+J4+N4+L4)-(G4+I4+M4+K4)</f>
        <v>#REF!</v>
      </c>
    </row>
    <row r="5" spans="2:15">
      <c r="B5" s="18" t="s">
        <v>238</v>
      </c>
      <c r="C5" s="2">
        <v>2000</v>
      </c>
      <c r="D5" s="23" t="s">
        <v>253</v>
      </c>
      <c r="F5" s="28">
        <v>2</v>
      </c>
      <c r="G5" s="3">
        <f t="shared" ref="G5:G28" si="1">$C$12*$C$4/1.24</f>
        <v>60048387.096774191</v>
      </c>
      <c r="H5" s="3">
        <f t="shared" si="0"/>
        <v>0</v>
      </c>
      <c r="I5" s="3">
        <v>0</v>
      </c>
      <c r="J5" s="3" t="e">
        <f t="shared" ref="J5:J28" si="2">$C$8*($C$9-$C$10)*$C$4</f>
        <v>#REF!</v>
      </c>
      <c r="K5" s="3">
        <f t="shared" ref="K5:K28" si="3">$C$5*$C$6*8760*$C$31</f>
        <v>71481600</v>
      </c>
      <c r="L5" s="3">
        <f t="shared" ref="L5:L28" si="4">$C$5*$C$6*8760*$C$30</f>
        <v>144452400</v>
      </c>
      <c r="M5" s="3"/>
      <c r="N5" s="3"/>
      <c r="O5" s="3" t="e">
        <f t="shared" ref="O5:O28" si="5">(H5+J5+N5+L5)-(G5+I5+M5+K5)</f>
        <v>#REF!</v>
      </c>
    </row>
    <row r="6" spans="2:15">
      <c r="B6" s="18" t="s">
        <v>254</v>
      </c>
      <c r="C6" s="35">
        <v>0.17</v>
      </c>
      <c r="D6" s="23" t="s">
        <v>104</v>
      </c>
      <c r="F6" s="28">
        <v>3</v>
      </c>
      <c r="G6" s="3">
        <f t="shared" si="1"/>
        <v>60048387.096774191</v>
      </c>
      <c r="H6" s="3">
        <f t="shared" si="0"/>
        <v>0</v>
      </c>
      <c r="I6" s="3">
        <v>0</v>
      </c>
      <c r="J6" s="3" t="e">
        <f t="shared" si="2"/>
        <v>#REF!</v>
      </c>
      <c r="K6" s="3">
        <f t="shared" si="3"/>
        <v>71481600</v>
      </c>
      <c r="L6" s="3">
        <f t="shared" si="4"/>
        <v>144452400</v>
      </c>
      <c r="M6" s="3"/>
      <c r="N6" s="3"/>
      <c r="O6" s="3" t="e">
        <f t="shared" si="5"/>
        <v>#REF!</v>
      </c>
    </row>
    <row r="7" spans="2:15">
      <c r="B7" s="18" t="s">
        <v>240</v>
      </c>
      <c r="C7" s="31">
        <f>'Sc3-FA (2)'!C6</f>
        <v>750</v>
      </c>
      <c r="D7" s="23" t="s">
        <v>216</v>
      </c>
      <c r="F7" s="28">
        <v>4</v>
      </c>
      <c r="G7" s="3">
        <f t="shared" si="1"/>
        <v>60048387.096774191</v>
      </c>
      <c r="H7" s="3">
        <f t="shared" si="0"/>
        <v>0</v>
      </c>
      <c r="I7" s="3">
        <v>0</v>
      </c>
      <c r="J7" s="3" t="e">
        <f t="shared" si="2"/>
        <v>#REF!</v>
      </c>
      <c r="K7" s="3">
        <f t="shared" si="3"/>
        <v>71481600</v>
      </c>
      <c r="L7" s="3">
        <f t="shared" si="4"/>
        <v>144452400</v>
      </c>
      <c r="M7" s="3"/>
      <c r="N7" s="3"/>
      <c r="O7" s="3" t="e">
        <f t="shared" si="5"/>
        <v>#REF!</v>
      </c>
    </row>
    <row r="8" spans="2:15">
      <c r="B8" s="18" t="s">
        <v>243</v>
      </c>
      <c r="C8" s="2">
        <v>4000</v>
      </c>
      <c r="D8" s="23" t="s">
        <v>101</v>
      </c>
      <c r="F8" s="28">
        <v>5</v>
      </c>
      <c r="G8" s="3">
        <f t="shared" si="1"/>
        <v>60048387.096774191</v>
      </c>
      <c r="H8" s="3">
        <f t="shared" si="0"/>
        <v>0</v>
      </c>
      <c r="I8" s="3">
        <v>0</v>
      </c>
      <c r="J8" s="3" t="e">
        <f t="shared" si="2"/>
        <v>#REF!</v>
      </c>
      <c r="K8" s="3">
        <f t="shared" si="3"/>
        <v>71481600</v>
      </c>
      <c r="L8" s="3">
        <f t="shared" si="4"/>
        <v>144452400</v>
      </c>
      <c r="M8" s="3"/>
      <c r="N8" s="3"/>
      <c r="O8" s="3" t="e">
        <f t="shared" si="5"/>
        <v>#REF!</v>
      </c>
    </row>
    <row r="9" spans="2:15">
      <c r="B9" s="18" t="s">
        <v>244</v>
      </c>
      <c r="C9" s="13">
        <f>'Energy prices'!$D$6/1000</f>
        <v>0.21199999999999999</v>
      </c>
      <c r="D9" s="23" t="s">
        <v>114</v>
      </c>
      <c r="F9" s="28">
        <v>6</v>
      </c>
      <c r="G9" s="3">
        <f t="shared" si="1"/>
        <v>60048387.096774191</v>
      </c>
      <c r="H9" s="3">
        <f t="shared" si="0"/>
        <v>0</v>
      </c>
      <c r="I9" s="3">
        <v>0</v>
      </c>
      <c r="J9" s="3" t="e">
        <f t="shared" si="2"/>
        <v>#REF!</v>
      </c>
      <c r="K9" s="3">
        <f t="shared" si="3"/>
        <v>71481600</v>
      </c>
      <c r="L9" s="3">
        <f t="shared" si="4"/>
        <v>144452400</v>
      </c>
      <c r="M9" s="3"/>
      <c r="N9" s="3"/>
      <c r="O9" s="3" t="e">
        <f t="shared" si="5"/>
        <v>#REF!</v>
      </c>
    </row>
    <row r="10" spans="2:15">
      <c r="B10" s="18" t="s">
        <v>245</v>
      </c>
      <c r="C10" s="34" t="e">
        <f>'Sc3-FA (2)'!C10*'Ele prices'!#REF!</f>
        <v>#REF!</v>
      </c>
      <c r="D10" s="23" t="s">
        <v>114</v>
      </c>
      <c r="F10" s="28">
        <v>7</v>
      </c>
      <c r="G10" s="3">
        <f t="shared" si="1"/>
        <v>60048387.096774191</v>
      </c>
      <c r="H10" s="3">
        <f t="shared" si="0"/>
        <v>0</v>
      </c>
      <c r="I10" s="3">
        <v>0</v>
      </c>
      <c r="J10" s="3" t="e">
        <f t="shared" si="2"/>
        <v>#REF!</v>
      </c>
      <c r="K10" s="3">
        <f t="shared" si="3"/>
        <v>71481600</v>
      </c>
      <c r="L10" s="3">
        <f t="shared" si="4"/>
        <v>144452400</v>
      </c>
      <c r="M10" s="3"/>
      <c r="N10" s="3"/>
      <c r="O10" s="3" t="e">
        <f t="shared" si="5"/>
        <v>#REF!</v>
      </c>
    </row>
    <row r="11" spans="2:15">
      <c r="B11" s="18" t="s">
        <v>246</v>
      </c>
      <c r="C11" s="2">
        <v>0</v>
      </c>
      <c r="D11" s="23" t="s">
        <v>86</v>
      </c>
      <c r="F11" s="28">
        <v>8</v>
      </c>
      <c r="G11" s="3">
        <f t="shared" si="1"/>
        <v>60048387.096774191</v>
      </c>
      <c r="H11" s="3">
        <f t="shared" si="0"/>
        <v>0</v>
      </c>
      <c r="I11" s="3">
        <v>0</v>
      </c>
      <c r="J11" s="3" t="e">
        <f t="shared" si="2"/>
        <v>#REF!</v>
      </c>
      <c r="K11" s="3">
        <f t="shared" si="3"/>
        <v>71481600</v>
      </c>
      <c r="L11" s="3">
        <f t="shared" si="4"/>
        <v>144452400</v>
      </c>
      <c r="M11" s="3"/>
      <c r="N11" s="3"/>
      <c r="O11" s="3" t="e">
        <f t="shared" si="5"/>
        <v>#REF!</v>
      </c>
    </row>
    <row r="12" spans="2:15">
      <c r="B12" s="18" t="s">
        <v>247</v>
      </c>
      <c r="C12" s="2">
        <v>100</v>
      </c>
      <c r="D12" s="23" t="s">
        <v>86</v>
      </c>
      <c r="F12" s="28">
        <v>9</v>
      </c>
      <c r="G12" s="3">
        <f t="shared" si="1"/>
        <v>60048387.096774191</v>
      </c>
      <c r="H12" s="3">
        <f t="shared" si="0"/>
        <v>0</v>
      </c>
      <c r="I12" s="3">
        <v>0</v>
      </c>
      <c r="J12" s="3" t="e">
        <f t="shared" si="2"/>
        <v>#REF!</v>
      </c>
      <c r="K12" s="3">
        <f t="shared" si="3"/>
        <v>71481600</v>
      </c>
      <c r="L12" s="3">
        <f t="shared" si="4"/>
        <v>144452400</v>
      </c>
      <c r="M12" s="3"/>
      <c r="N12" s="3"/>
      <c r="O12" s="3" t="e">
        <f t="shared" si="5"/>
        <v>#REF!</v>
      </c>
    </row>
    <row r="13" spans="2:15">
      <c r="B13" s="18" t="s">
        <v>249</v>
      </c>
      <c r="C13" s="10">
        <v>0</v>
      </c>
      <c r="D13" s="23" t="s">
        <v>153</v>
      </c>
      <c r="F13" s="28">
        <v>10</v>
      </c>
      <c r="G13" s="3">
        <f t="shared" si="1"/>
        <v>60048387.096774191</v>
      </c>
      <c r="H13" s="3">
        <f t="shared" si="0"/>
        <v>0</v>
      </c>
      <c r="I13" s="3">
        <v>0</v>
      </c>
      <c r="J13" s="3" t="e">
        <f t="shared" si="2"/>
        <v>#REF!</v>
      </c>
      <c r="K13" s="3">
        <f t="shared" si="3"/>
        <v>71481600</v>
      </c>
      <c r="L13" s="3">
        <f t="shared" si="4"/>
        <v>144452400</v>
      </c>
      <c r="M13" s="3"/>
      <c r="N13" s="3"/>
      <c r="O13" s="3" t="e">
        <f t="shared" si="5"/>
        <v>#REF!</v>
      </c>
    </row>
    <row r="14" spans="2:15">
      <c r="B14" s="18" t="s">
        <v>250</v>
      </c>
      <c r="C14" s="10">
        <v>0.03</v>
      </c>
      <c r="D14" s="23" t="s">
        <v>104</v>
      </c>
      <c r="F14" s="28">
        <v>11</v>
      </c>
      <c r="G14" s="3">
        <f t="shared" si="1"/>
        <v>60048387.096774191</v>
      </c>
      <c r="H14" s="3">
        <f t="shared" si="0"/>
        <v>0</v>
      </c>
      <c r="I14" s="3">
        <v>0</v>
      </c>
      <c r="J14" s="3" t="e">
        <f t="shared" si="2"/>
        <v>#REF!</v>
      </c>
      <c r="K14" s="3">
        <f t="shared" si="3"/>
        <v>71481600</v>
      </c>
      <c r="L14" s="3">
        <f t="shared" si="4"/>
        <v>144452400</v>
      </c>
      <c r="M14" s="3"/>
      <c r="N14" s="3"/>
      <c r="O14" s="3" t="e">
        <f t="shared" si="5"/>
        <v>#REF!</v>
      </c>
    </row>
    <row r="15" spans="2:15">
      <c r="F15" s="28">
        <v>12</v>
      </c>
      <c r="G15" s="3">
        <f t="shared" si="1"/>
        <v>60048387.096774191</v>
      </c>
      <c r="H15" s="3">
        <f t="shared" si="0"/>
        <v>0</v>
      </c>
      <c r="I15" s="3">
        <v>0</v>
      </c>
      <c r="J15" s="3" t="e">
        <f t="shared" si="2"/>
        <v>#REF!</v>
      </c>
      <c r="K15" s="3">
        <f t="shared" si="3"/>
        <v>71481600</v>
      </c>
      <c r="L15" s="3">
        <f t="shared" si="4"/>
        <v>144452400</v>
      </c>
      <c r="M15" s="3"/>
      <c r="N15" s="3"/>
      <c r="O15" s="3" t="e">
        <f t="shared" si="5"/>
        <v>#REF!</v>
      </c>
    </row>
    <row r="16" spans="2:15">
      <c r="B16" s="14" t="s">
        <v>133</v>
      </c>
      <c r="C16" s="15" t="e">
        <f>NPV(C14,O4:O28)+O3</f>
        <v>#REF!</v>
      </c>
      <c r="F16" s="28">
        <v>13</v>
      </c>
      <c r="G16" s="3">
        <f t="shared" si="1"/>
        <v>60048387.096774191</v>
      </c>
      <c r="H16" s="3">
        <f t="shared" si="0"/>
        <v>0</v>
      </c>
      <c r="I16" s="3">
        <v>0</v>
      </c>
      <c r="J16" s="3" t="e">
        <f t="shared" si="2"/>
        <v>#REF!</v>
      </c>
      <c r="K16" s="3">
        <f t="shared" si="3"/>
        <v>71481600</v>
      </c>
      <c r="L16" s="3">
        <f t="shared" si="4"/>
        <v>144452400</v>
      </c>
      <c r="M16" s="3"/>
      <c r="N16" s="3"/>
      <c r="O16" s="3" t="e">
        <f t="shared" si="5"/>
        <v>#REF!</v>
      </c>
    </row>
    <row r="17" spans="2:15">
      <c r="B17" s="14" t="s">
        <v>134</v>
      </c>
      <c r="C17" s="16" t="e">
        <f>IRR(O3:O28)</f>
        <v>#VALUE!</v>
      </c>
      <c r="F17" s="28">
        <v>14</v>
      </c>
      <c r="G17" s="3">
        <f t="shared" si="1"/>
        <v>60048387.096774191</v>
      </c>
      <c r="H17" s="3">
        <f t="shared" si="0"/>
        <v>0</v>
      </c>
      <c r="I17" s="3">
        <v>0</v>
      </c>
      <c r="J17" s="3" t="e">
        <f t="shared" si="2"/>
        <v>#REF!</v>
      </c>
      <c r="K17" s="3">
        <f t="shared" si="3"/>
        <v>71481600</v>
      </c>
      <c r="L17" s="3">
        <f t="shared" si="4"/>
        <v>144452400</v>
      </c>
      <c r="M17" s="3"/>
      <c r="N17" s="3"/>
      <c r="O17" s="3" t="e">
        <f t="shared" si="5"/>
        <v>#REF!</v>
      </c>
    </row>
    <row r="18" spans="2:15">
      <c r="B18" s="14" t="s">
        <v>135</v>
      </c>
      <c r="C18" s="17" t="e">
        <f>(H29+J29+N29+L29)/(G29+I29+M29+K29)</f>
        <v>#REF!</v>
      </c>
      <c r="F18" s="28">
        <v>15</v>
      </c>
      <c r="G18" s="3">
        <f t="shared" si="1"/>
        <v>60048387.096774191</v>
      </c>
      <c r="H18" s="3">
        <f t="shared" si="0"/>
        <v>0</v>
      </c>
      <c r="I18" s="3">
        <v>0</v>
      </c>
      <c r="J18" s="3" t="e">
        <f t="shared" si="2"/>
        <v>#REF!</v>
      </c>
      <c r="K18" s="3">
        <f t="shared" si="3"/>
        <v>71481600</v>
      </c>
      <c r="L18" s="3">
        <f t="shared" si="4"/>
        <v>144452400</v>
      </c>
      <c r="M18" s="3"/>
      <c r="N18" s="3"/>
      <c r="O18" s="3" t="e">
        <f t="shared" si="5"/>
        <v>#REF!</v>
      </c>
    </row>
    <row r="19" spans="2:15">
      <c r="F19" s="28">
        <v>16</v>
      </c>
      <c r="G19" s="3">
        <f t="shared" si="1"/>
        <v>60048387.096774191</v>
      </c>
      <c r="H19" s="3">
        <f t="shared" si="0"/>
        <v>0</v>
      </c>
      <c r="I19" s="3">
        <v>0</v>
      </c>
      <c r="J19" s="3" t="e">
        <f t="shared" si="2"/>
        <v>#REF!</v>
      </c>
      <c r="K19" s="3">
        <f t="shared" si="3"/>
        <v>71481600</v>
      </c>
      <c r="L19" s="3">
        <f t="shared" si="4"/>
        <v>144452400</v>
      </c>
      <c r="M19" s="3"/>
      <c r="N19" s="3"/>
      <c r="O19" s="3" t="e">
        <f t="shared" si="5"/>
        <v>#REF!</v>
      </c>
    </row>
    <row r="20" spans="2:15">
      <c r="B20" s="8"/>
      <c r="C20" s="1"/>
      <c r="F20" s="28">
        <v>17</v>
      </c>
      <c r="G20" s="3">
        <f t="shared" si="1"/>
        <v>60048387.096774191</v>
      </c>
      <c r="H20" s="3">
        <f t="shared" si="0"/>
        <v>0</v>
      </c>
      <c r="I20" s="3">
        <v>0</v>
      </c>
      <c r="J20" s="3" t="e">
        <f t="shared" si="2"/>
        <v>#REF!</v>
      </c>
      <c r="K20" s="3">
        <f t="shared" si="3"/>
        <v>71481600</v>
      </c>
      <c r="L20" s="3">
        <f t="shared" si="4"/>
        <v>144452400</v>
      </c>
      <c r="M20" s="3"/>
      <c r="N20" s="3"/>
      <c r="O20" s="3" t="e">
        <f t="shared" si="5"/>
        <v>#REF!</v>
      </c>
    </row>
    <row r="21" spans="2:15">
      <c r="B21" s="22" t="s">
        <v>162</v>
      </c>
      <c r="F21" s="28">
        <v>18</v>
      </c>
      <c r="G21" s="3">
        <f t="shared" si="1"/>
        <v>60048387.096774191</v>
      </c>
      <c r="H21" s="3">
        <f t="shared" si="0"/>
        <v>0</v>
      </c>
      <c r="I21" s="3">
        <v>0</v>
      </c>
      <c r="J21" s="3" t="e">
        <f t="shared" si="2"/>
        <v>#REF!</v>
      </c>
      <c r="K21" s="3">
        <f t="shared" si="3"/>
        <v>71481600</v>
      </c>
      <c r="L21" s="3">
        <f t="shared" si="4"/>
        <v>144452400</v>
      </c>
      <c r="M21" s="3"/>
      <c r="N21" s="3"/>
      <c r="O21" s="3" t="e">
        <f t="shared" si="5"/>
        <v>#REF!</v>
      </c>
    </row>
    <row r="22" spans="2:15">
      <c r="B22" s="220" t="s">
        <v>163</v>
      </c>
      <c r="C22" s="4" t="s">
        <v>164</v>
      </c>
      <c r="F22" s="28">
        <v>19</v>
      </c>
      <c r="G22" s="3">
        <f t="shared" si="1"/>
        <v>60048387.096774191</v>
      </c>
      <c r="H22" s="3">
        <f t="shared" si="0"/>
        <v>0</v>
      </c>
      <c r="I22" s="3">
        <v>0</v>
      </c>
      <c r="J22" s="3" t="e">
        <f t="shared" si="2"/>
        <v>#REF!</v>
      </c>
      <c r="K22" s="3">
        <f t="shared" si="3"/>
        <v>71481600</v>
      </c>
      <c r="L22" s="3">
        <f t="shared" si="4"/>
        <v>144452400</v>
      </c>
      <c r="M22" s="3"/>
      <c r="N22" s="3"/>
      <c r="O22" s="3" t="e">
        <f t="shared" si="5"/>
        <v>#REF!</v>
      </c>
    </row>
    <row r="23" spans="2:15">
      <c r="B23" s="220"/>
      <c r="C23" s="4" t="s">
        <v>165</v>
      </c>
      <c r="F23" s="28">
        <v>20</v>
      </c>
      <c r="G23" s="3">
        <f t="shared" si="1"/>
        <v>60048387.096774191</v>
      </c>
      <c r="H23" s="3">
        <f t="shared" si="0"/>
        <v>0</v>
      </c>
      <c r="I23" s="3">
        <v>0</v>
      </c>
      <c r="J23" s="3" t="e">
        <f t="shared" si="2"/>
        <v>#REF!</v>
      </c>
      <c r="K23" s="3">
        <f t="shared" si="3"/>
        <v>71481600</v>
      </c>
      <c r="L23" s="3">
        <f t="shared" si="4"/>
        <v>144452400</v>
      </c>
      <c r="M23" s="3"/>
      <c r="N23" s="3"/>
      <c r="O23" s="3" t="e">
        <f t="shared" si="5"/>
        <v>#REF!</v>
      </c>
    </row>
    <row r="24" spans="2:15">
      <c r="B24" s="9" t="s">
        <v>166</v>
      </c>
      <c r="C24" s="6">
        <f>'Sc2-SCBA'!C48</f>
        <v>51</v>
      </c>
      <c r="F24" s="28">
        <v>21</v>
      </c>
      <c r="G24" s="3">
        <f t="shared" si="1"/>
        <v>60048387.096774191</v>
      </c>
      <c r="H24" s="3">
        <f t="shared" si="0"/>
        <v>0</v>
      </c>
      <c r="I24" s="3">
        <v>0</v>
      </c>
      <c r="J24" s="3" t="e">
        <f t="shared" si="2"/>
        <v>#REF!</v>
      </c>
      <c r="K24" s="3">
        <f t="shared" si="3"/>
        <v>71481600</v>
      </c>
      <c r="L24" s="3">
        <f t="shared" si="4"/>
        <v>144452400</v>
      </c>
      <c r="M24" s="3"/>
      <c r="N24" s="3"/>
      <c r="O24" s="3" t="e">
        <f t="shared" si="5"/>
        <v>#REF!</v>
      </c>
    </row>
    <row r="25" spans="2:15">
      <c r="B25" s="9" t="s">
        <v>167</v>
      </c>
      <c r="C25" s="6">
        <f>'Sc2-SCBA'!C49</f>
        <v>43.4</v>
      </c>
      <c r="F25" s="28">
        <v>22</v>
      </c>
      <c r="G25" s="3">
        <f t="shared" si="1"/>
        <v>60048387.096774191</v>
      </c>
      <c r="H25" s="3">
        <f t="shared" si="0"/>
        <v>0</v>
      </c>
      <c r="I25" s="3">
        <v>0</v>
      </c>
      <c r="J25" s="3" t="e">
        <f t="shared" si="2"/>
        <v>#REF!</v>
      </c>
      <c r="K25" s="3">
        <f t="shared" si="3"/>
        <v>71481600</v>
      </c>
      <c r="L25" s="3">
        <f t="shared" si="4"/>
        <v>144452400</v>
      </c>
      <c r="M25" s="3"/>
      <c r="N25" s="3"/>
      <c r="O25" s="3" t="e">
        <f t="shared" si="5"/>
        <v>#REF!</v>
      </c>
    </row>
    <row r="26" spans="2:15">
      <c r="B26" s="9" t="s">
        <v>168</v>
      </c>
      <c r="C26" s="6">
        <f>'Sc2-SCBA'!C50</f>
        <v>36</v>
      </c>
      <c r="F26" s="28">
        <v>23</v>
      </c>
      <c r="G26" s="3">
        <f t="shared" si="1"/>
        <v>60048387.096774191</v>
      </c>
      <c r="H26" s="3">
        <f t="shared" si="0"/>
        <v>0</v>
      </c>
      <c r="I26" s="3">
        <v>0</v>
      </c>
      <c r="J26" s="3" t="e">
        <f t="shared" si="2"/>
        <v>#REF!</v>
      </c>
      <c r="K26" s="3">
        <f t="shared" si="3"/>
        <v>71481600</v>
      </c>
      <c r="L26" s="3">
        <f t="shared" si="4"/>
        <v>144452400</v>
      </c>
      <c r="M26" s="3"/>
      <c r="N26" s="3"/>
      <c r="O26" s="3" t="e">
        <f t="shared" si="5"/>
        <v>#REF!</v>
      </c>
    </row>
    <row r="27" spans="2:15">
      <c r="B27" s="9" t="s">
        <v>169</v>
      </c>
      <c r="C27" s="6">
        <f>'Sc2-SCBA'!C51</f>
        <v>32.200000000000003</v>
      </c>
      <c r="F27" s="28">
        <v>24</v>
      </c>
      <c r="G27" s="3">
        <f t="shared" si="1"/>
        <v>60048387.096774191</v>
      </c>
      <c r="H27" s="3">
        <f t="shared" si="0"/>
        <v>0</v>
      </c>
      <c r="I27" s="3">
        <v>0</v>
      </c>
      <c r="J27" s="3" t="e">
        <f t="shared" si="2"/>
        <v>#REF!</v>
      </c>
      <c r="K27" s="3">
        <f t="shared" si="3"/>
        <v>71481600</v>
      </c>
      <c r="L27" s="3">
        <f t="shared" si="4"/>
        <v>144452400</v>
      </c>
      <c r="M27" s="3"/>
      <c r="N27" s="3"/>
      <c r="O27" s="3" t="e">
        <f t="shared" si="5"/>
        <v>#REF!</v>
      </c>
    </row>
    <row r="28" spans="2:15">
      <c r="B28" s="9" t="s">
        <v>170</v>
      </c>
      <c r="C28" s="6">
        <f>'Sc2-SCBA'!C52</f>
        <v>36</v>
      </c>
      <c r="F28" s="28">
        <v>25</v>
      </c>
      <c r="G28" s="3">
        <f t="shared" si="1"/>
        <v>60048387.096774191</v>
      </c>
      <c r="H28" s="3">
        <f t="shared" si="0"/>
        <v>0</v>
      </c>
      <c r="I28" s="3">
        <v>0</v>
      </c>
      <c r="J28" s="3" t="e">
        <f t="shared" si="2"/>
        <v>#REF!</v>
      </c>
      <c r="K28" s="3">
        <f t="shared" si="3"/>
        <v>71481600</v>
      </c>
      <c r="L28" s="3">
        <f t="shared" si="4"/>
        <v>144452400</v>
      </c>
      <c r="M28" s="3"/>
      <c r="N28" s="3">
        <f>C2*C13</f>
        <v>0</v>
      </c>
      <c r="O28" s="3" t="e">
        <f t="shared" si="5"/>
        <v>#REF!</v>
      </c>
    </row>
    <row r="29" spans="2:15">
      <c r="B29" s="9" t="s">
        <v>171</v>
      </c>
      <c r="C29" s="6">
        <f>'Sc2-SCBA'!C53</f>
        <v>21.8</v>
      </c>
      <c r="F29" s="29" t="s">
        <v>116</v>
      </c>
      <c r="G29" s="32">
        <f t="shared" ref="G29:O29" si="6">NPV($C$14,G4:G28)+G3</f>
        <v>1045631433.1391619</v>
      </c>
      <c r="H29" s="32">
        <f t="shared" si="6"/>
        <v>0</v>
      </c>
      <c r="I29" s="32">
        <f t="shared" si="6"/>
        <v>0</v>
      </c>
      <c r="J29" s="32" t="e">
        <f t="shared" si="6"/>
        <v>#REF!</v>
      </c>
      <c r="K29" s="32">
        <f t="shared" si="6"/>
        <v>1244719658.0088584</v>
      </c>
      <c r="L29" s="32">
        <f t="shared" si="6"/>
        <v>2515370975.5595675</v>
      </c>
      <c r="M29" s="32">
        <f t="shared" si="6"/>
        <v>1209677419.3548386</v>
      </c>
      <c r="N29" s="32">
        <f t="shared" si="6"/>
        <v>0</v>
      </c>
      <c r="O29" s="32" t="e">
        <f t="shared" si="6"/>
        <v>#REF!</v>
      </c>
    </row>
    <row r="30" spans="2:15">
      <c r="B30" s="9" t="s">
        <v>172</v>
      </c>
      <c r="C30" s="6">
        <f>'Sc2-SCBA'!C54</f>
        <v>48.5</v>
      </c>
    </row>
    <row r="31" spans="2:15">
      <c r="B31" s="9" t="s">
        <v>173</v>
      </c>
      <c r="C31" s="6">
        <f>'Sc2-SCBA'!C55</f>
        <v>24</v>
      </c>
    </row>
    <row r="32" spans="2:15">
      <c r="B32" s="9" t="s">
        <v>174</v>
      </c>
      <c r="C32" s="6">
        <f>'Sc2-SCBA'!C56</f>
        <v>9.6</v>
      </c>
    </row>
  </sheetData>
  <mergeCells count="1">
    <mergeCell ref="B22:B23"/>
  </mergeCells>
  <pageMargins left="0.7" right="0.7" top="0.75" bottom="0.75" header="0.3" footer="0.3"/>
  <pageSetup orientation="portrait" horizontalDpi="4294967293" verticalDpi="4294967293"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04E85-4E29-47F0-B6E8-5A438DB059ED}">
  <sheetPr>
    <tabColor theme="5" tint="-0.499984740745262"/>
  </sheetPr>
  <dimension ref="B2:M32"/>
  <sheetViews>
    <sheetView zoomScale="85" zoomScaleNormal="85" workbookViewId="0">
      <selection activeCell="J34" sqref="J34"/>
    </sheetView>
  </sheetViews>
  <sheetFormatPr defaultColWidth="8.85546875" defaultRowHeight="14.45"/>
  <cols>
    <col min="1" max="1" width="3.5703125" style="1" customWidth="1"/>
    <col min="2" max="2" width="55.5703125" style="1" customWidth="1"/>
    <col min="3" max="3" width="20.5703125" style="12" customWidth="1"/>
    <col min="4" max="4" width="20.140625" style="1" bestFit="1" customWidth="1"/>
    <col min="5" max="6" width="8.85546875" style="1"/>
    <col min="7" max="7" width="12" style="1" bestFit="1" customWidth="1"/>
    <col min="8" max="8" width="13.42578125" style="1" bestFit="1" customWidth="1"/>
    <col min="9" max="9" width="16.5703125" style="1" bestFit="1" customWidth="1"/>
    <col min="10" max="10" width="17" style="1" bestFit="1" customWidth="1"/>
    <col min="11" max="11" width="18.42578125" style="1" bestFit="1" customWidth="1"/>
    <col min="12" max="12" width="18.5703125" style="1" bestFit="1" customWidth="1"/>
    <col min="13" max="13" width="20" style="1" bestFit="1" customWidth="1"/>
    <col min="14" max="16384" width="8.85546875" style="1"/>
  </cols>
  <sheetData>
    <row r="2" spans="2:13">
      <c r="B2" s="18" t="s">
        <v>251</v>
      </c>
      <c r="C2" s="2">
        <v>1500000000</v>
      </c>
      <c r="D2" s="23" t="s">
        <v>86</v>
      </c>
      <c r="F2" s="27" t="s">
        <v>87</v>
      </c>
      <c r="G2" s="27" t="s">
        <v>88</v>
      </c>
      <c r="H2" s="27" t="s">
        <v>89</v>
      </c>
      <c r="I2" s="27" t="s">
        <v>90</v>
      </c>
      <c r="J2" s="27" t="s">
        <v>91</v>
      </c>
      <c r="K2" s="27" t="s">
        <v>92</v>
      </c>
      <c r="L2" s="27" t="s">
        <v>93</v>
      </c>
      <c r="M2" s="27" t="s">
        <v>94</v>
      </c>
    </row>
    <row r="3" spans="2:13">
      <c r="B3" s="18" t="s">
        <v>255</v>
      </c>
      <c r="C3" s="2">
        <v>18000</v>
      </c>
      <c r="D3" s="23" t="s">
        <v>86</v>
      </c>
      <c r="F3" s="28">
        <v>0</v>
      </c>
      <c r="G3" s="3"/>
      <c r="H3" s="3"/>
      <c r="I3" s="3"/>
      <c r="J3" s="3"/>
      <c r="K3" s="3">
        <f>C2-C6*C7</f>
        <v>1269230769.2307692</v>
      </c>
      <c r="L3" s="3"/>
      <c r="M3" s="3">
        <f>(H3+J3+L3)-(G3+I3+K3)</f>
        <v>-1269230769.2307692</v>
      </c>
    </row>
    <row r="4" spans="2:13">
      <c r="B4" s="18" t="s">
        <v>256</v>
      </c>
      <c r="C4" s="2">
        <v>8000</v>
      </c>
      <c r="D4" s="23" t="s">
        <v>86</v>
      </c>
      <c r="F4" s="28">
        <v>1</v>
      </c>
      <c r="G4" s="3">
        <f t="shared" ref="G4:G28" si="0">$C$22</f>
        <v>0</v>
      </c>
      <c r="H4" s="3">
        <f t="shared" ref="H4:H28" si="1">$C$21</f>
        <v>0</v>
      </c>
      <c r="I4" s="3">
        <f>($C$12*$C$11*(1-$C$15))/$C$13*$C$18*$C$7</f>
        <v>6400000.0000000009</v>
      </c>
      <c r="J4" s="3" t="e">
        <f>($C$16*$C$18+$C$12*$C$19)*$C$7</f>
        <v>#REF!</v>
      </c>
      <c r="K4" s="3"/>
      <c r="L4" s="3"/>
      <c r="M4" s="3" t="e">
        <f>(H4+J4+L4)-(G4+I4+K4)</f>
        <v>#REF!</v>
      </c>
    </row>
    <row r="5" spans="2:13">
      <c r="B5" s="18" t="s">
        <v>237</v>
      </c>
      <c r="C5" s="2">
        <f>(C3+C4)*(1-C30)</f>
        <v>26000</v>
      </c>
      <c r="D5" s="23" t="s">
        <v>86</v>
      </c>
      <c r="F5" s="28">
        <v>2</v>
      </c>
      <c r="G5" s="3">
        <f t="shared" si="0"/>
        <v>0</v>
      </c>
      <c r="H5" s="3">
        <f t="shared" si="1"/>
        <v>0</v>
      </c>
      <c r="I5" s="3">
        <f t="shared" ref="I5:I28" si="2">($C$12*$C$11*(1-$C$15))/$C$13*$C$18*$C$7</f>
        <v>6400000.0000000009</v>
      </c>
      <c r="J5" s="3" t="e">
        <f t="shared" ref="J5:J28" si="3">($C$16*$C$18+$C$12*$C$19)*$C$7</f>
        <v>#REF!</v>
      </c>
      <c r="K5" s="3"/>
      <c r="L5" s="3"/>
      <c r="M5" s="3" t="e">
        <f t="shared" ref="M5:M28" si="4">(H5+J5+L5)-(G5+I5+K5)</f>
        <v>#REF!</v>
      </c>
    </row>
    <row r="6" spans="2:13">
      <c r="B6" s="18" t="s">
        <v>257</v>
      </c>
      <c r="C6" s="2">
        <v>4000</v>
      </c>
      <c r="D6" s="23" t="s">
        <v>86</v>
      </c>
      <c r="F6" s="28">
        <v>3</v>
      </c>
      <c r="G6" s="3">
        <f t="shared" si="0"/>
        <v>0</v>
      </c>
      <c r="H6" s="3">
        <f t="shared" si="1"/>
        <v>0</v>
      </c>
      <c r="I6" s="3">
        <f t="shared" si="2"/>
        <v>6400000.0000000009</v>
      </c>
      <c r="J6" s="3" t="e">
        <f t="shared" si="3"/>
        <v>#REF!</v>
      </c>
      <c r="K6" s="3"/>
      <c r="L6" s="3"/>
      <c r="M6" s="3" t="e">
        <f t="shared" si="4"/>
        <v>#REF!</v>
      </c>
    </row>
    <row r="7" spans="2:13">
      <c r="B7" s="18" t="s">
        <v>241</v>
      </c>
      <c r="C7" s="36">
        <f>C2/C5</f>
        <v>57692.307692307695</v>
      </c>
      <c r="D7" s="23" t="s">
        <v>242</v>
      </c>
      <c r="F7" s="28">
        <v>4</v>
      </c>
      <c r="G7" s="3">
        <f t="shared" si="0"/>
        <v>0</v>
      </c>
      <c r="H7" s="3">
        <f t="shared" si="1"/>
        <v>0</v>
      </c>
      <c r="I7" s="3">
        <f t="shared" si="2"/>
        <v>6400000.0000000009</v>
      </c>
      <c r="J7" s="3" t="e">
        <f t="shared" si="3"/>
        <v>#REF!</v>
      </c>
      <c r="K7" s="3"/>
      <c r="L7" s="3"/>
      <c r="M7" s="3" t="e">
        <f t="shared" si="4"/>
        <v>#REF!</v>
      </c>
    </row>
    <row r="8" spans="2:13">
      <c r="B8" s="18" t="s">
        <v>258</v>
      </c>
      <c r="C8" s="2">
        <v>580</v>
      </c>
      <c r="D8" s="23" t="s">
        <v>101</v>
      </c>
      <c r="F8" s="28">
        <v>5</v>
      </c>
      <c r="G8" s="3">
        <f t="shared" si="0"/>
        <v>0</v>
      </c>
      <c r="H8" s="3">
        <f t="shared" si="1"/>
        <v>0</v>
      </c>
      <c r="I8" s="3">
        <f t="shared" si="2"/>
        <v>6400000.0000000009</v>
      </c>
      <c r="J8" s="3" t="e">
        <f t="shared" si="3"/>
        <v>#REF!</v>
      </c>
      <c r="K8" s="3"/>
      <c r="L8" s="3"/>
      <c r="M8" s="3" t="e">
        <f t="shared" si="4"/>
        <v>#REF!</v>
      </c>
    </row>
    <row r="9" spans="2:13">
      <c r="B9" s="18" t="s">
        <v>259</v>
      </c>
      <c r="C9" s="2">
        <v>6500</v>
      </c>
      <c r="D9" s="23" t="s">
        <v>101</v>
      </c>
      <c r="F9" s="28">
        <v>6</v>
      </c>
      <c r="G9" s="3">
        <f t="shared" si="0"/>
        <v>0</v>
      </c>
      <c r="H9" s="3">
        <f t="shared" si="1"/>
        <v>0</v>
      </c>
      <c r="I9" s="3">
        <f t="shared" si="2"/>
        <v>6400000.0000000009</v>
      </c>
      <c r="J9" s="3" t="e">
        <f t="shared" si="3"/>
        <v>#REF!</v>
      </c>
      <c r="K9" s="3"/>
      <c r="L9" s="3"/>
      <c r="M9" s="3" t="e">
        <f t="shared" si="4"/>
        <v>#REF!</v>
      </c>
    </row>
    <row r="10" spans="2:13">
      <c r="B10" s="18" t="s">
        <v>260</v>
      </c>
      <c r="C10" s="10">
        <v>0.95</v>
      </c>
      <c r="D10" s="23" t="s">
        <v>104</v>
      </c>
      <c r="F10" s="28">
        <v>7</v>
      </c>
      <c r="G10" s="3">
        <f t="shared" si="0"/>
        <v>0</v>
      </c>
      <c r="H10" s="3">
        <f t="shared" si="1"/>
        <v>0</v>
      </c>
      <c r="I10" s="3">
        <f t="shared" si="2"/>
        <v>6400000.0000000009</v>
      </c>
      <c r="J10" s="3" t="e">
        <f t="shared" si="3"/>
        <v>#REF!</v>
      </c>
      <c r="K10" s="3"/>
      <c r="L10" s="3"/>
      <c r="M10" s="3" t="e">
        <f t="shared" si="4"/>
        <v>#REF!</v>
      </c>
    </row>
    <row r="11" spans="2:13">
      <c r="B11" s="18" t="s">
        <v>261</v>
      </c>
      <c r="C11" s="10">
        <v>0.8</v>
      </c>
      <c r="D11" s="23" t="s">
        <v>104</v>
      </c>
      <c r="F11" s="28">
        <v>8</v>
      </c>
      <c r="G11" s="3">
        <f t="shared" si="0"/>
        <v>0</v>
      </c>
      <c r="H11" s="3">
        <f t="shared" si="1"/>
        <v>0</v>
      </c>
      <c r="I11" s="3">
        <f t="shared" si="2"/>
        <v>6400000.0000000009</v>
      </c>
      <c r="J11" s="3" t="e">
        <f t="shared" si="3"/>
        <v>#REF!</v>
      </c>
      <c r="K11" s="3"/>
      <c r="L11" s="3"/>
      <c r="M11" s="3" t="e">
        <f t="shared" si="4"/>
        <v>#REF!</v>
      </c>
    </row>
    <row r="12" spans="2:13">
      <c r="B12" s="18" t="s">
        <v>262</v>
      </c>
      <c r="C12" s="2">
        <f>C9</f>
        <v>6500</v>
      </c>
      <c r="D12" s="23" t="s">
        <v>101</v>
      </c>
      <c r="F12" s="28">
        <v>9</v>
      </c>
      <c r="G12" s="3">
        <f t="shared" si="0"/>
        <v>0</v>
      </c>
      <c r="H12" s="3">
        <f t="shared" si="1"/>
        <v>0</v>
      </c>
      <c r="I12" s="3">
        <f t="shared" si="2"/>
        <v>6400000.0000000009</v>
      </c>
      <c r="J12" s="3" t="e">
        <f t="shared" si="3"/>
        <v>#REF!</v>
      </c>
      <c r="K12" s="3"/>
      <c r="L12" s="3"/>
      <c r="M12" s="3" t="e">
        <f t="shared" si="4"/>
        <v>#REF!</v>
      </c>
    </row>
    <row r="13" spans="2:13">
      <c r="B13" s="18" t="s">
        <v>263</v>
      </c>
      <c r="C13" s="7">
        <v>4.5</v>
      </c>
      <c r="D13" s="23"/>
      <c r="F13" s="28">
        <v>10</v>
      </c>
      <c r="G13" s="3">
        <f t="shared" si="0"/>
        <v>0</v>
      </c>
      <c r="H13" s="3">
        <f t="shared" si="1"/>
        <v>0</v>
      </c>
      <c r="I13" s="3">
        <f t="shared" si="2"/>
        <v>6400000.0000000009</v>
      </c>
      <c r="J13" s="3" t="e">
        <f t="shared" si="3"/>
        <v>#REF!</v>
      </c>
      <c r="K13" s="3"/>
      <c r="L13" s="3"/>
      <c r="M13" s="3" t="e">
        <f t="shared" si="4"/>
        <v>#REF!</v>
      </c>
    </row>
    <row r="14" spans="2:13">
      <c r="B14" s="18" t="s">
        <v>264</v>
      </c>
      <c r="C14" s="10">
        <v>0.6</v>
      </c>
      <c r="D14" s="23" t="s">
        <v>104</v>
      </c>
      <c r="F14" s="28">
        <v>11</v>
      </c>
      <c r="G14" s="3">
        <f t="shared" si="0"/>
        <v>0</v>
      </c>
      <c r="H14" s="3">
        <f t="shared" si="1"/>
        <v>0</v>
      </c>
      <c r="I14" s="3">
        <f t="shared" si="2"/>
        <v>6400000.0000000009</v>
      </c>
      <c r="J14" s="3" t="e">
        <f t="shared" si="3"/>
        <v>#REF!</v>
      </c>
      <c r="K14" s="3"/>
      <c r="L14" s="3"/>
      <c r="M14" s="3" t="e">
        <f t="shared" si="4"/>
        <v>#REF!</v>
      </c>
    </row>
    <row r="15" spans="2:13">
      <c r="B15" s="18" t="s">
        <v>265</v>
      </c>
      <c r="C15" s="10">
        <v>0.6</v>
      </c>
      <c r="D15" s="23" t="s">
        <v>104</v>
      </c>
      <c r="F15" s="28">
        <v>12</v>
      </c>
      <c r="G15" s="3">
        <f t="shared" si="0"/>
        <v>0</v>
      </c>
      <c r="H15" s="3">
        <f t="shared" si="1"/>
        <v>0</v>
      </c>
      <c r="I15" s="3">
        <f t="shared" si="2"/>
        <v>6400000.0000000009</v>
      </c>
      <c r="J15" s="3" t="e">
        <f t="shared" si="3"/>
        <v>#REF!</v>
      </c>
      <c r="K15" s="3"/>
      <c r="L15" s="3"/>
      <c r="M15" s="3" t="e">
        <f t="shared" si="4"/>
        <v>#REF!</v>
      </c>
    </row>
    <row r="16" spans="2:13">
      <c r="B16" s="18" t="s">
        <v>266</v>
      </c>
      <c r="C16" s="2">
        <f>C8*C14</f>
        <v>348</v>
      </c>
      <c r="D16" s="23" t="s">
        <v>101</v>
      </c>
      <c r="F16" s="28">
        <v>13</v>
      </c>
      <c r="G16" s="3">
        <f t="shared" si="0"/>
        <v>0</v>
      </c>
      <c r="H16" s="3">
        <f t="shared" si="1"/>
        <v>0</v>
      </c>
      <c r="I16" s="3">
        <f t="shared" si="2"/>
        <v>6400000.0000000009</v>
      </c>
      <c r="J16" s="3" t="e">
        <f t="shared" si="3"/>
        <v>#REF!</v>
      </c>
      <c r="K16" s="3"/>
      <c r="L16" s="3"/>
      <c r="M16" s="3" t="e">
        <f t="shared" si="4"/>
        <v>#REF!</v>
      </c>
    </row>
    <row r="17" spans="2:13">
      <c r="B17" s="18" t="s">
        <v>267</v>
      </c>
      <c r="C17" s="2">
        <f>C12*C15</f>
        <v>3900</v>
      </c>
      <c r="D17" s="23" t="s">
        <v>101</v>
      </c>
      <c r="F17" s="28">
        <v>14</v>
      </c>
      <c r="G17" s="3">
        <f t="shared" si="0"/>
        <v>0</v>
      </c>
      <c r="H17" s="3">
        <f t="shared" si="1"/>
        <v>0</v>
      </c>
      <c r="I17" s="3">
        <f t="shared" si="2"/>
        <v>6400000.0000000009</v>
      </c>
      <c r="J17" s="3" t="e">
        <f t="shared" si="3"/>
        <v>#REF!</v>
      </c>
      <c r="K17" s="3"/>
      <c r="L17" s="3"/>
      <c r="M17" s="3" t="e">
        <f t="shared" si="4"/>
        <v>#REF!</v>
      </c>
    </row>
    <row r="18" spans="2:13">
      <c r="B18" s="18" t="s">
        <v>244</v>
      </c>
      <c r="C18" s="13">
        <f>'Energy prices'!$C$6/1000</f>
        <v>0.24</v>
      </c>
      <c r="D18" s="23" t="s">
        <v>114</v>
      </c>
      <c r="F18" s="28">
        <v>15</v>
      </c>
      <c r="G18" s="3">
        <f t="shared" si="0"/>
        <v>0</v>
      </c>
      <c r="H18" s="3">
        <f t="shared" si="1"/>
        <v>0</v>
      </c>
      <c r="I18" s="3">
        <f t="shared" si="2"/>
        <v>6400000.0000000009</v>
      </c>
      <c r="J18" s="3" t="e">
        <f t="shared" si="3"/>
        <v>#REF!</v>
      </c>
      <c r="K18" s="3"/>
      <c r="L18" s="3"/>
      <c r="M18" s="3" t="e">
        <f t="shared" si="4"/>
        <v>#REF!</v>
      </c>
    </row>
    <row r="19" spans="2:13">
      <c r="B19" s="18" t="s">
        <v>268</v>
      </c>
      <c r="C19" s="13" t="e">
        <f>'Energy prices'!#REF!</f>
        <v>#REF!</v>
      </c>
      <c r="D19" s="23" t="s">
        <v>114</v>
      </c>
      <c r="F19" s="28">
        <v>16</v>
      </c>
      <c r="G19" s="3">
        <f t="shared" si="0"/>
        <v>0</v>
      </c>
      <c r="H19" s="3">
        <f t="shared" si="1"/>
        <v>0</v>
      </c>
      <c r="I19" s="3">
        <f t="shared" si="2"/>
        <v>6400000.0000000009</v>
      </c>
      <c r="J19" s="3" t="e">
        <f t="shared" si="3"/>
        <v>#REF!</v>
      </c>
      <c r="K19" s="3"/>
      <c r="L19" s="3"/>
      <c r="M19" s="3" t="e">
        <f t="shared" si="4"/>
        <v>#REF!</v>
      </c>
    </row>
    <row r="20" spans="2:13">
      <c r="B20" s="18" t="s">
        <v>269</v>
      </c>
      <c r="C20" s="13">
        <f>'Energy prices'!$C$8/1000</f>
        <v>0.114</v>
      </c>
      <c r="D20" s="23" t="s">
        <v>114</v>
      </c>
      <c r="F20" s="28">
        <v>17</v>
      </c>
      <c r="G20" s="3">
        <f t="shared" si="0"/>
        <v>0</v>
      </c>
      <c r="H20" s="3">
        <f t="shared" si="1"/>
        <v>0</v>
      </c>
      <c r="I20" s="3">
        <f t="shared" si="2"/>
        <v>6400000.0000000009</v>
      </c>
      <c r="J20" s="3" t="e">
        <f t="shared" si="3"/>
        <v>#REF!</v>
      </c>
      <c r="K20" s="3"/>
      <c r="L20" s="3"/>
      <c r="M20" s="3" t="e">
        <f t="shared" si="4"/>
        <v>#REF!</v>
      </c>
    </row>
    <row r="21" spans="2:13">
      <c r="B21" s="18" t="s">
        <v>246</v>
      </c>
      <c r="C21" s="2">
        <v>0</v>
      </c>
      <c r="D21" s="23" t="s">
        <v>86</v>
      </c>
      <c r="F21" s="28">
        <v>18</v>
      </c>
      <c r="G21" s="3">
        <f t="shared" si="0"/>
        <v>0</v>
      </c>
      <c r="H21" s="3">
        <f t="shared" si="1"/>
        <v>0</v>
      </c>
      <c r="I21" s="3">
        <f t="shared" si="2"/>
        <v>6400000.0000000009</v>
      </c>
      <c r="J21" s="3" t="e">
        <f t="shared" si="3"/>
        <v>#REF!</v>
      </c>
      <c r="K21" s="3"/>
      <c r="L21" s="3"/>
      <c r="M21" s="3" t="e">
        <f t="shared" si="4"/>
        <v>#REF!</v>
      </c>
    </row>
    <row r="22" spans="2:13">
      <c r="B22" s="18" t="s">
        <v>247</v>
      </c>
      <c r="C22" s="2">
        <v>0</v>
      </c>
      <c r="D22" s="23" t="s">
        <v>86</v>
      </c>
      <c r="F22" s="28">
        <v>19</v>
      </c>
      <c r="G22" s="3">
        <f t="shared" si="0"/>
        <v>0</v>
      </c>
      <c r="H22" s="3">
        <f t="shared" si="1"/>
        <v>0</v>
      </c>
      <c r="I22" s="3">
        <f t="shared" si="2"/>
        <v>6400000.0000000009</v>
      </c>
      <c r="J22" s="3" t="e">
        <f t="shared" si="3"/>
        <v>#REF!</v>
      </c>
      <c r="K22" s="3"/>
      <c r="L22" s="3"/>
      <c r="M22" s="3" t="e">
        <f t="shared" si="4"/>
        <v>#REF!</v>
      </c>
    </row>
    <row r="23" spans="2:13">
      <c r="B23" s="18" t="s">
        <v>249</v>
      </c>
      <c r="C23" s="10">
        <v>0.1</v>
      </c>
      <c r="D23" s="23" t="s">
        <v>248</v>
      </c>
      <c r="F23" s="28">
        <v>20</v>
      </c>
      <c r="G23" s="3">
        <f t="shared" si="0"/>
        <v>0</v>
      </c>
      <c r="H23" s="3">
        <f t="shared" si="1"/>
        <v>0</v>
      </c>
      <c r="I23" s="3">
        <f t="shared" si="2"/>
        <v>6400000.0000000009</v>
      </c>
      <c r="J23" s="3" t="e">
        <f t="shared" si="3"/>
        <v>#REF!</v>
      </c>
      <c r="K23" s="3"/>
      <c r="L23" s="3"/>
      <c r="M23" s="3" t="e">
        <f t="shared" si="4"/>
        <v>#REF!</v>
      </c>
    </row>
    <row r="24" spans="2:13">
      <c r="B24" s="18" t="s">
        <v>250</v>
      </c>
      <c r="C24" s="10">
        <v>0.03</v>
      </c>
      <c r="D24" s="23" t="s">
        <v>104</v>
      </c>
      <c r="F24" s="28">
        <v>21</v>
      </c>
      <c r="G24" s="3">
        <f t="shared" si="0"/>
        <v>0</v>
      </c>
      <c r="H24" s="3">
        <f t="shared" si="1"/>
        <v>0</v>
      </c>
      <c r="I24" s="3">
        <f t="shared" si="2"/>
        <v>6400000.0000000009</v>
      </c>
      <c r="J24" s="3" t="e">
        <f t="shared" si="3"/>
        <v>#REF!</v>
      </c>
      <c r="K24" s="3"/>
      <c r="L24" s="3"/>
      <c r="M24" s="3" t="e">
        <f t="shared" si="4"/>
        <v>#REF!</v>
      </c>
    </row>
    <row r="25" spans="2:13">
      <c r="F25" s="28">
        <v>22</v>
      </c>
      <c r="G25" s="3">
        <f t="shared" si="0"/>
        <v>0</v>
      </c>
      <c r="H25" s="3">
        <f t="shared" si="1"/>
        <v>0</v>
      </c>
      <c r="I25" s="3">
        <f t="shared" si="2"/>
        <v>6400000.0000000009</v>
      </c>
      <c r="J25" s="3" t="e">
        <f t="shared" si="3"/>
        <v>#REF!</v>
      </c>
      <c r="K25" s="3"/>
      <c r="L25" s="3"/>
      <c r="M25" s="3" t="e">
        <f t="shared" si="4"/>
        <v>#REF!</v>
      </c>
    </row>
    <row r="26" spans="2:13">
      <c r="B26" s="14" t="s">
        <v>133</v>
      </c>
      <c r="C26" s="15" t="e">
        <f>NPV(C24,M4:M28)+M3</f>
        <v>#REF!</v>
      </c>
      <c r="F26" s="28">
        <v>23</v>
      </c>
      <c r="G26" s="3">
        <f t="shared" si="0"/>
        <v>0</v>
      </c>
      <c r="H26" s="3">
        <f t="shared" si="1"/>
        <v>0</v>
      </c>
      <c r="I26" s="3">
        <f t="shared" si="2"/>
        <v>6400000.0000000009</v>
      </c>
      <c r="J26" s="3" t="e">
        <f t="shared" si="3"/>
        <v>#REF!</v>
      </c>
      <c r="K26" s="3"/>
      <c r="L26" s="3"/>
      <c r="M26" s="3" t="e">
        <f t="shared" si="4"/>
        <v>#REF!</v>
      </c>
    </row>
    <row r="27" spans="2:13">
      <c r="B27" s="14" t="s">
        <v>134</v>
      </c>
      <c r="C27" s="16" t="e">
        <f>IRR(M3:M28)</f>
        <v>#VALUE!</v>
      </c>
      <c r="F27" s="28">
        <v>24</v>
      </c>
      <c r="G27" s="3">
        <f t="shared" si="0"/>
        <v>0</v>
      </c>
      <c r="H27" s="3">
        <f t="shared" si="1"/>
        <v>0</v>
      </c>
      <c r="I27" s="3">
        <f t="shared" si="2"/>
        <v>6400000.0000000009</v>
      </c>
      <c r="J27" s="3" t="e">
        <f t="shared" si="3"/>
        <v>#REF!</v>
      </c>
      <c r="K27" s="3"/>
      <c r="L27" s="3"/>
      <c r="M27" s="3" t="e">
        <f t="shared" si="4"/>
        <v>#REF!</v>
      </c>
    </row>
    <row r="28" spans="2:13">
      <c r="B28" s="14" t="s">
        <v>135</v>
      </c>
      <c r="C28" s="17" t="e">
        <f>(H29+J29+L29)/(G29+I29+K29)</f>
        <v>#REF!</v>
      </c>
      <c r="F28" s="28">
        <v>25</v>
      </c>
      <c r="G28" s="3">
        <f t="shared" si="0"/>
        <v>0</v>
      </c>
      <c r="H28" s="3">
        <f t="shared" si="1"/>
        <v>0</v>
      </c>
      <c r="I28" s="3">
        <f t="shared" si="2"/>
        <v>6400000.0000000009</v>
      </c>
      <c r="J28" s="3" t="e">
        <f t="shared" si="3"/>
        <v>#REF!</v>
      </c>
      <c r="K28" s="3"/>
      <c r="L28" s="3">
        <f>C2*C23</f>
        <v>150000000</v>
      </c>
      <c r="M28" s="3" t="e">
        <f t="shared" si="4"/>
        <v>#REF!</v>
      </c>
    </row>
    <row r="29" spans="2:13">
      <c r="F29" s="29" t="s">
        <v>116</v>
      </c>
      <c r="G29" s="32">
        <f t="shared" ref="G29:M29" si="5">NPV($C$24,G4:G28)+G3</f>
        <v>0</v>
      </c>
      <c r="H29" s="32">
        <f t="shared" si="5"/>
        <v>0</v>
      </c>
      <c r="I29" s="32">
        <f t="shared" si="5"/>
        <v>111444145.22417931</v>
      </c>
      <c r="J29" s="32" t="e">
        <f t="shared" si="5"/>
        <v>#REF!</v>
      </c>
      <c r="K29" s="32">
        <f t="shared" si="5"/>
        <v>1269230769.2307692</v>
      </c>
      <c r="L29" s="32">
        <f t="shared" si="5"/>
        <v>145631067.96116504</v>
      </c>
      <c r="M29" s="32" t="e">
        <f t="shared" si="5"/>
        <v>#REF!</v>
      </c>
    </row>
    <row r="30" spans="2:13">
      <c r="B30" s="18" t="s">
        <v>136</v>
      </c>
      <c r="C30" s="10">
        <v>0</v>
      </c>
      <c r="D30" s="23" t="s">
        <v>104</v>
      </c>
    </row>
    <row r="31" spans="2:13">
      <c r="C31" s="1"/>
    </row>
    <row r="32" spans="2:13">
      <c r="B32" s="8"/>
      <c r="C32" s="1"/>
    </row>
  </sheetData>
  <pageMargins left="0.7" right="0.7" top="0.75" bottom="0.75" header="0.3" footer="0.3"/>
  <pageSetup orientation="portrait" horizontalDpi="4294967293" verticalDpi="4294967293"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2AD59-5A6A-44B0-A97D-714772B37027}">
  <sheetPr>
    <tabColor theme="5" tint="-0.499984740745262"/>
  </sheetPr>
  <dimension ref="B2:O69"/>
  <sheetViews>
    <sheetView zoomScale="85" zoomScaleNormal="85" workbookViewId="0">
      <selection activeCell="F29" sqref="F29"/>
    </sheetView>
  </sheetViews>
  <sheetFormatPr defaultColWidth="8.85546875" defaultRowHeight="14.45"/>
  <cols>
    <col min="1" max="1" width="3.5703125" style="1" customWidth="1"/>
    <col min="2" max="2" width="56" style="1" customWidth="1"/>
    <col min="3" max="3" width="20.5703125" style="12" customWidth="1"/>
    <col min="4" max="4" width="15.5703125" style="1" bestFit="1" customWidth="1"/>
    <col min="5" max="6" width="8.85546875" style="1"/>
    <col min="7" max="7" width="12" style="1" bestFit="1" customWidth="1"/>
    <col min="8" max="8" width="13.42578125" style="1" bestFit="1" customWidth="1"/>
    <col min="9" max="9" width="16.5703125" style="1" bestFit="1" customWidth="1"/>
    <col min="10" max="10" width="17" style="1" bestFit="1" customWidth="1"/>
    <col min="11" max="12" width="17.42578125" style="1" bestFit="1" customWidth="1"/>
    <col min="13" max="13" width="18.42578125" style="1" bestFit="1" customWidth="1"/>
    <col min="14" max="14" width="18.5703125" style="1" bestFit="1" customWidth="1"/>
    <col min="15" max="15" width="20" style="1" bestFit="1" customWidth="1"/>
    <col min="16" max="16384" width="8.85546875" style="1"/>
  </cols>
  <sheetData>
    <row r="2" spans="2:15">
      <c r="B2" s="18" t="s">
        <v>251</v>
      </c>
      <c r="C2" s="2">
        <v>1500000000</v>
      </c>
      <c r="D2" s="23" t="s">
        <v>86</v>
      </c>
      <c r="F2" s="27" t="s">
        <v>87</v>
      </c>
      <c r="G2" s="27" t="s">
        <v>88</v>
      </c>
      <c r="H2" s="27" t="s">
        <v>89</v>
      </c>
      <c r="I2" s="27" t="s">
        <v>90</v>
      </c>
      <c r="J2" s="27" t="s">
        <v>91</v>
      </c>
      <c r="K2" s="27" t="s">
        <v>148</v>
      </c>
      <c r="L2" s="27" t="s">
        <v>149</v>
      </c>
      <c r="M2" s="27" t="s">
        <v>92</v>
      </c>
      <c r="N2" s="27" t="s">
        <v>93</v>
      </c>
      <c r="O2" s="27" t="s">
        <v>94</v>
      </c>
    </row>
    <row r="3" spans="2:15">
      <c r="B3" s="18" t="s">
        <v>255</v>
      </c>
      <c r="C3" s="2">
        <v>18000</v>
      </c>
      <c r="D3" s="23" t="s">
        <v>86</v>
      </c>
      <c r="F3" s="28">
        <v>0</v>
      </c>
      <c r="G3" s="3"/>
      <c r="H3" s="3"/>
      <c r="I3" s="3"/>
      <c r="J3" s="3"/>
      <c r="K3" s="3"/>
      <c r="L3" s="3" t="e">
        <f>IF(C30=1,C53,0)</f>
        <v>#REF!</v>
      </c>
      <c r="M3" s="33">
        <f>(C2-C5*C6)/1.24</f>
        <v>1023573200.9925557</v>
      </c>
      <c r="N3" s="3"/>
      <c r="O3" s="3" t="e">
        <f>(H3+J3+L3+N3)-(G3+I3+K3+M3)</f>
        <v>#REF!</v>
      </c>
    </row>
    <row r="4" spans="2:15">
      <c r="B4" s="18" t="s">
        <v>256</v>
      </c>
      <c r="C4" s="2">
        <v>8000</v>
      </c>
      <c r="D4" s="23" t="s">
        <v>86</v>
      </c>
      <c r="F4" s="28">
        <v>1</v>
      </c>
      <c r="G4" s="3">
        <f>$C$21</f>
        <v>0</v>
      </c>
      <c r="H4" s="3">
        <f>$C$20</f>
        <v>0</v>
      </c>
      <c r="I4" s="3">
        <f>($C$11*$C$10*(1-$C$14))/$C$12*$C$17*$C$6</f>
        <v>5653333.333333334</v>
      </c>
      <c r="J4" s="3" t="e">
        <f t="shared" ref="J4:J28" si="0">($C$15*$C$17+$C$11*$C$18)*$C$6</f>
        <v>#REF!</v>
      </c>
      <c r="K4" s="3">
        <f>($C$11*$C$10*(1-$C$14))*$C$43/1000*$C$6</f>
        <v>2616000</v>
      </c>
      <c r="L4" s="3" t="e">
        <f>($C$15*'Energy prices'!#REF!/1000+$C$11*'Energy prices'!#REF!/1000)*$C$6+(J4-I4)*$C$63*$C$64</f>
        <v>#REF!</v>
      </c>
      <c r="M4" s="3"/>
      <c r="N4" s="3"/>
      <c r="O4" s="3" t="e">
        <f>(H4+J4+L4+N4)-(G4+I4+K4+M4)</f>
        <v>#REF!</v>
      </c>
    </row>
    <row r="5" spans="2:15">
      <c r="B5" s="18" t="s">
        <v>257</v>
      </c>
      <c r="C5" s="2">
        <v>4000</v>
      </c>
      <c r="D5" s="23" t="s">
        <v>86</v>
      </c>
      <c r="F5" s="28">
        <v>2</v>
      </c>
      <c r="G5" s="3">
        <f t="shared" ref="G5:G28" si="1">$C$21</f>
        <v>0</v>
      </c>
      <c r="H5" s="3">
        <f t="shared" ref="H5:H28" si="2">$C$20</f>
        <v>0</v>
      </c>
      <c r="I5" s="3">
        <f t="shared" ref="I5:I28" si="3">($C$11*$C$10*(1-$C$14))/$C$12*$C$17*$C$6</f>
        <v>5653333.333333334</v>
      </c>
      <c r="J5" s="3" t="e">
        <f t="shared" si="0"/>
        <v>#REF!</v>
      </c>
      <c r="K5" s="3">
        <f t="shared" ref="K5:K28" si="4">($C$11*$C$10*(1-$C$14))*$C$43/1000*$C$6</f>
        <v>2616000</v>
      </c>
      <c r="L5" s="3" t="e">
        <f>($C$15*'Energy prices'!#REF!/1000+$C$11*'Energy prices'!#REF!/1000)*$C$6+(J5-I5)*$C$63*$C$64</f>
        <v>#REF!</v>
      </c>
      <c r="M5" s="3"/>
      <c r="N5" s="3"/>
      <c r="O5" s="3" t="e">
        <f t="shared" ref="O5:O28" si="5">(H5+J5+L5+N5)-(G5+I5+K5+M5)</f>
        <v>#REF!</v>
      </c>
    </row>
    <row r="6" spans="2:15">
      <c r="B6" s="18" t="s">
        <v>241</v>
      </c>
      <c r="C6" s="36">
        <f>C2/(C3+C4)</f>
        <v>57692.307692307695</v>
      </c>
      <c r="D6" s="23" t="s">
        <v>152</v>
      </c>
      <c r="F6" s="28">
        <v>3</v>
      </c>
      <c r="G6" s="3">
        <f t="shared" si="1"/>
        <v>0</v>
      </c>
      <c r="H6" s="3">
        <f t="shared" si="2"/>
        <v>0</v>
      </c>
      <c r="I6" s="3">
        <f t="shared" si="3"/>
        <v>5653333.333333334</v>
      </c>
      <c r="J6" s="3" t="e">
        <f t="shared" si="0"/>
        <v>#REF!</v>
      </c>
      <c r="K6" s="3">
        <f t="shared" si="4"/>
        <v>2616000</v>
      </c>
      <c r="L6" s="3" t="e">
        <f>($C$15*'Energy prices'!#REF!/1000+$C$11*'Energy prices'!#REF!/1000)*$C$6+(J6-I6)*$C$63*$C$64</f>
        <v>#REF!</v>
      </c>
      <c r="M6" s="3"/>
      <c r="N6" s="3"/>
      <c r="O6" s="3" t="e">
        <f t="shared" si="5"/>
        <v>#REF!</v>
      </c>
    </row>
    <row r="7" spans="2:15">
      <c r="B7" s="18" t="s">
        <v>258</v>
      </c>
      <c r="C7" s="2">
        <v>580</v>
      </c>
      <c r="D7" s="23" t="s">
        <v>101</v>
      </c>
      <c r="F7" s="28">
        <v>4</v>
      </c>
      <c r="G7" s="3">
        <f t="shared" si="1"/>
        <v>0</v>
      </c>
      <c r="H7" s="3">
        <f t="shared" si="2"/>
        <v>0</v>
      </c>
      <c r="I7" s="3">
        <f t="shared" si="3"/>
        <v>5653333.333333334</v>
      </c>
      <c r="J7" s="3" t="e">
        <f t="shared" si="0"/>
        <v>#REF!</v>
      </c>
      <c r="K7" s="3">
        <f t="shared" si="4"/>
        <v>2616000</v>
      </c>
      <c r="L7" s="3" t="e">
        <f>($C$15*'Energy prices'!#REF!/1000+$C$11*'Energy prices'!#REF!/1000)*$C$6+(J7-I7)*$C$63*$C$64</f>
        <v>#REF!</v>
      </c>
      <c r="M7" s="3"/>
      <c r="N7" s="3"/>
      <c r="O7" s="3" t="e">
        <f t="shared" si="5"/>
        <v>#REF!</v>
      </c>
    </row>
    <row r="8" spans="2:15">
      <c r="B8" s="18" t="s">
        <v>259</v>
      </c>
      <c r="C8" s="2">
        <v>6500</v>
      </c>
      <c r="D8" s="23" t="s">
        <v>101</v>
      </c>
      <c r="F8" s="28">
        <v>5</v>
      </c>
      <c r="G8" s="3">
        <f t="shared" si="1"/>
        <v>0</v>
      </c>
      <c r="H8" s="3">
        <f t="shared" si="2"/>
        <v>0</v>
      </c>
      <c r="I8" s="3">
        <f t="shared" si="3"/>
        <v>5653333.333333334</v>
      </c>
      <c r="J8" s="3" t="e">
        <f t="shared" si="0"/>
        <v>#REF!</v>
      </c>
      <c r="K8" s="3">
        <f t="shared" si="4"/>
        <v>2616000</v>
      </c>
      <c r="L8" s="3" t="e">
        <f>($C$15*'Energy prices'!#REF!/1000+$C$11*'Energy prices'!#REF!/1000)*$C$6+(J8-I8)*$C$63*$C$64</f>
        <v>#REF!</v>
      </c>
      <c r="M8" s="3"/>
      <c r="N8" s="3"/>
      <c r="O8" s="3" t="e">
        <f t="shared" si="5"/>
        <v>#REF!</v>
      </c>
    </row>
    <row r="9" spans="2:15">
      <c r="B9" s="18" t="s">
        <v>260</v>
      </c>
      <c r="C9" s="10">
        <v>0.95</v>
      </c>
      <c r="D9" s="23" t="s">
        <v>104</v>
      </c>
      <c r="F9" s="28">
        <v>6</v>
      </c>
      <c r="G9" s="3">
        <f t="shared" si="1"/>
        <v>0</v>
      </c>
      <c r="H9" s="3">
        <f t="shared" si="2"/>
        <v>0</v>
      </c>
      <c r="I9" s="3">
        <f t="shared" si="3"/>
        <v>5653333.333333334</v>
      </c>
      <c r="J9" s="3" t="e">
        <f t="shared" si="0"/>
        <v>#REF!</v>
      </c>
      <c r="K9" s="3">
        <f t="shared" si="4"/>
        <v>2616000</v>
      </c>
      <c r="L9" s="3" t="e">
        <f>($C$15*'Energy prices'!#REF!/1000+$C$11*'Energy prices'!#REF!/1000)*$C$6+(J9-I9)*$C$63*$C$64</f>
        <v>#REF!</v>
      </c>
      <c r="M9" s="3"/>
      <c r="N9" s="3"/>
      <c r="O9" s="3" t="e">
        <f t="shared" si="5"/>
        <v>#REF!</v>
      </c>
    </row>
    <row r="10" spans="2:15">
      <c r="B10" s="18" t="s">
        <v>261</v>
      </c>
      <c r="C10" s="10">
        <v>0.8</v>
      </c>
      <c r="D10" s="23" t="s">
        <v>104</v>
      </c>
      <c r="F10" s="28">
        <v>7</v>
      </c>
      <c r="G10" s="3">
        <f t="shared" si="1"/>
        <v>0</v>
      </c>
      <c r="H10" s="3">
        <f t="shared" si="2"/>
        <v>0</v>
      </c>
      <c r="I10" s="3">
        <f t="shared" si="3"/>
        <v>5653333.333333334</v>
      </c>
      <c r="J10" s="3" t="e">
        <f t="shared" si="0"/>
        <v>#REF!</v>
      </c>
      <c r="K10" s="3">
        <f t="shared" si="4"/>
        <v>2616000</v>
      </c>
      <c r="L10" s="3" t="e">
        <f>($C$15*'Energy prices'!#REF!/1000+$C$11*'Energy prices'!#REF!/1000)*$C$6+(J10-I10)*$C$63*$C$64</f>
        <v>#REF!</v>
      </c>
      <c r="M10" s="3"/>
      <c r="N10" s="3"/>
      <c r="O10" s="3" t="e">
        <f t="shared" si="5"/>
        <v>#REF!</v>
      </c>
    </row>
    <row r="11" spans="2:15">
      <c r="B11" s="18" t="s">
        <v>262</v>
      </c>
      <c r="C11" s="2">
        <f>C8</f>
        <v>6500</v>
      </c>
      <c r="D11" s="23" t="s">
        <v>101</v>
      </c>
      <c r="F11" s="28">
        <v>8</v>
      </c>
      <c r="G11" s="3">
        <f t="shared" si="1"/>
        <v>0</v>
      </c>
      <c r="H11" s="3">
        <f t="shared" si="2"/>
        <v>0</v>
      </c>
      <c r="I11" s="3">
        <f t="shared" si="3"/>
        <v>5653333.333333334</v>
      </c>
      <c r="J11" s="3" t="e">
        <f t="shared" si="0"/>
        <v>#REF!</v>
      </c>
      <c r="K11" s="3">
        <f t="shared" si="4"/>
        <v>2616000</v>
      </c>
      <c r="L11" s="3" t="e">
        <f>($C$15*'Energy prices'!#REF!/1000+$C$11*'Energy prices'!#REF!/1000)*$C$6+(J11-I11)*$C$63*$C$64</f>
        <v>#REF!</v>
      </c>
      <c r="M11" s="3"/>
      <c r="N11" s="3"/>
      <c r="O11" s="3" t="e">
        <f t="shared" si="5"/>
        <v>#REF!</v>
      </c>
    </row>
    <row r="12" spans="2:15">
      <c r="B12" s="18" t="s">
        <v>263</v>
      </c>
      <c r="C12" s="7">
        <v>4.5</v>
      </c>
      <c r="D12" s="23"/>
      <c r="F12" s="28">
        <v>9</v>
      </c>
      <c r="G12" s="3">
        <f t="shared" si="1"/>
        <v>0</v>
      </c>
      <c r="H12" s="3">
        <f t="shared" si="2"/>
        <v>0</v>
      </c>
      <c r="I12" s="3">
        <f t="shared" si="3"/>
        <v>5653333.333333334</v>
      </c>
      <c r="J12" s="3" t="e">
        <f t="shared" si="0"/>
        <v>#REF!</v>
      </c>
      <c r="K12" s="3">
        <f t="shared" si="4"/>
        <v>2616000</v>
      </c>
      <c r="L12" s="3" t="e">
        <f>($C$15*'Energy prices'!#REF!/1000+$C$11*'Energy prices'!#REF!/1000)*$C$6+(J12-I12)*$C$63*$C$64</f>
        <v>#REF!</v>
      </c>
      <c r="M12" s="3"/>
      <c r="N12" s="3"/>
      <c r="O12" s="3" t="e">
        <f t="shared" si="5"/>
        <v>#REF!</v>
      </c>
    </row>
    <row r="13" spans="2:15">
      <c r="B13" s="18" t="s">
        <v>264</v>
      </c>
      <c r="C13" s="10">
        <v>0.6</v>
      </c>
      <c r="D13" s="23" t="s">
        <v>104</v>
      </c>
      <c r="F13" s="28">
        <v>10</v>
      </c>
      <c r="G13" s="3">
        <f t="shared" si="1"/>
        <v>0</v>
      </c>
      <c r="H13" s="3">
        <f t="shared" si="2"/>
        <v>0</v>
      </c>
      <c r="I13" s="3">
        <f t="shared" si="3"/>
        <v>5653333.333333334</v>
      </c>
      <c r="J13" s="3" t="e">
        <f t="shared" si="0"/>
        <v>#REF!</v>
      </c>
      <c r="K13" s="3">
        <f t="shared" si="4"/>
        <v>2616000</v>
      </c>
      <c r="L13" s="3" t="e">
        <f>($C$15*'Energy prices'!#REF!/1000+$C$11*'Energy prices'!#REF!/1000)*$C$6+(J13-I13)*$C$63*$C$64</f>
        <v>#REF!</v>
      </c>
      <c r="M13" s="3"/>
      <c r="N13" s="3"/>
      <c r="O13" s="3" t="e">
        <f t="shared" si="5"/>
        <v>#REF!</v>
      </c>
    </row>
    <row r="14" spans="2:15">
      <c r="B14" s="18" t="s">
        <v>265</v>
      </c>
      <c r="C14" s="10">
        <v>0.6</v>
      </c>
      <c r="D14" s="23" t="s">
        <v>104</v>
      </c>
      <c r="F14" s="28">
        <v>11</v>
      </c>
      <c r="G14" s="3">
        <f t="shared" si="1"/>
        <v>0</v>
      </c>
      <c r="H14" s="3">
        <f t="shared" si="2"/>
        <v>0</v>
      </c>
      <c r="I14" s="3">
        <f t="shared" si="3"/>
        <v>5653333.333333334</v>
      </c>
      <c r="J14" s="3" t="e">
        <f t="shared" si="0"/>
        <v>#REF!</v>
      </c>
      <c r="K14" s="3">
        <f t="shared" si="4"/>
        <v>2616000</v>
      </c>
      <c r="L14" s="3" t="e">
        <f>($C$15*'Energy prices'!#REF!/1000+$C$11*'Energy prices'!#REF!/1000)*$C$6+(J14-I14)*$C$63*$C$64</f>
        <v>#REF!</v>
      </c>
      <c r="M14" s="3"/>
      <c r="N14" s="3"/>
      <c r="O14" s="3" t="e">
        <f t="shared" si="5"/>
        <v>#REF!</v>
      </c>
    </row>
    <row r="15" spans="2:15">
      <c r="B15" s="18" t="s">
        <v>266</v>
      </c>
      <c r="C15" s="2">
        <f>C7*C13</f>
        <v>348</v>
      </c>
      <c r="D15" s="23" t="s">
        <v>101</v>
      </c>
      <c r="F15" s="28">
        <v>12</v>
      </c>
      <c r="G15" s="3">
        <f t="shared" si="1"/>
        <v>0</v>
      </c>
      <c r="H15" s="3">
        <f t="shared" si="2"/>
        <v>0</v>
      </c>
      <c r="I15" s="3">
        <f t="shared" si="3"/>
        <v>5653333.333333334</v>
      </c>
      <c r="J15" s="3" t="e">
        <f t="shared" si="0"/>
        <v>#REF!</v>
      </c>
      <c r="K15" s="3">
        <f t="shared" si="4"/>
        <v>2616000</v>
      </c>
      <c r="L15" s="3" t="e">
        <f>($C$15*'Energy prices'!#REF!/1000+$C$11*'Energy prices'!#REF!/1000)*$C$6+(J15-I15)*$C$63*$C$64</f>
        <v>#REF!</v>
      </c>
      <c r="M15" s="3"/>
      <c r="N15" s="3"/>
      <c r="O15" s="3" t="e">
        <f t="shared" si="5"/>
        <v>#REF!</v>
      </c>
    </row>
    <row r="16" spans="2:15">
      <c r="B16" s="18" t="s">
        <v>267</v>
      </c>
      <c r="C16" s="2">
        <f>C11*C14</f>
        <v>3900</v>
      </c>
      <c r="D16" s="23" t="s">
        <v>101</v>
      </c>
      <c r="F16" s="28">
        <v>13</v>
      </c>
      <c r="G16" s="3">
        <f t="shared" si="1"/>
        <v>0</v>
      </c>
      <c r="H16" s="3">
        <f t="shared" si="2"/>
        <v>0</v>
      </c>
      <c r="I16" s="3">
        <f t="shared" si="3"/>
        <v>5653333.333333334</v>
      </c>
      <c r="J16" s="3" t="e">
        <f t="shared" si="0"/>
        <v>#REF!</v>
      </c>
      <c r="K16" s="3">
        <f t="shared" si="4"/>
        <v>2616000</v>
      </c>
      <c r="L16" s="3" t="e">
        <f>($C$15*'Energy prices'!#REF!/1000+$C$11*'Energy prices'!#REF!/1000)*$C$6+(J16-I16)*$C$63*$C$64</f>
        <v>#REF!</v>
      </c>
      <c r="M16" s="3"/>
      <c r="N16" s="3"/>
      <c r="O16" s="3" t="e">
        <f t="shared" si="5"/>
        <v>#REF!</v>
      </c>
    </row>
    <row r="17" spans="2:15">
      <c r="B17" s="18" t="s">
        <v>244</v>
      </c>
      <c r="C17" s="13">
        <f>'Energy prices'!$D$6/1000</f>
        <v>0.21199999999999999</v>
      </c>
      <c r="D17" s="23" t="s">
        <v>114</v>
      </c>
      <c r="F17" s="28">
        <v>14</v>
      </c>
      <c r="G17" s="3">
        <f t="shared" si="1"/>
        <v>0</v>
      </c>
      <c r="H17" s="3">
        <f t="shared" si="2"/>
        <v>0</v>
      </c>
      <c r="I17" s="3">
        <f t="shared" si="3"/>
        <v>5653333.333333334</v>
      </c>
      <c r="J17" s="3" t="e">
        <f t="shared" si="0"/>
        <v>#REF!</v>
      </c>
      <c r="K17" s="3">
        <f t="shared" si="4"/>
        <v>2616000</v>
      </c>
      <c r="L17" s="3" t="e">
        <f>($C$15*'Energy prices'!#REF!/1000+$C$11*'Energy prices'!#REF!/1000)*$C$6+(J17-I17)*$C$63*$C$64</f>
        <v>#REF!</v>
      </c>
      <c r="M17" s="3"/>
      <c r="N17" s="3"/>
      <c r="O17" s="3" t="e">
        <f t="shared" si="5"/>
        <v>#REF!</v>
      </c>
    </row>
    <row r="18" spans="2:15">
      <c r="B18" s="18" t="s">
        <v>268</v>
      </c>
      <c r="C18" s="13" t="e">
        <f>'Energy prices'!#REF!</f>
        <v>#REF!</v>
      </c>
      <c r="D18" s="23" t="s">
        <v>114</v>
      </c>
      <c r="F18" s="28">
        <v>15</v>
      </c>
      <c r="G18" s="3">
        <f t="shared" si="1"/>
        <v>0</v>
      </c>
      <c r="H18" s="3">
        <f t="shared" si="2"/>
        <v>0</v>
      </c>
      <c r="I18" s="3">
        <f t="shared" si="3"/>
        <v>5653333.333333334</v>
      </c>
      <c r="J18" s="3" t="e">
        <f t="shared" si="0"/>
        <v>#REF!</v>
      </c>
      <c r="K18" s="3">
        <f t="shared" si="4"/>
        <v>2616000</v>
      </c>
      <c r="L18" s="3" t="e">
        <f>($C$15*'Energy prices'!#REF!/1000+$C$11*'Energy prices'!#REF!/1000)*$C$6+(J18-I18)*$C$63*$C$64</f>
        <v>#REF!</v>
      </c>
      <c r="M18" s="3"/>
      <c r="N18" s="3"/>
      <c r="O18" s="3" t="e">
        <f t="shared" si="5"/>
        <v>#REF!</v>
      </c>
    </row>
    <row r="19" spans="2:15">
      <c r="B19" s="18" t="s">
        <v>269</v>
      </c>
      <c r="C19" s="13">
        <f>'Energy prices'!$D$8/1000</f>
        <v>9.4E-2</v>
      </c>
      <c r="D19" s="23" t="s">
        <v>114</v>
      </c>
      <c r="F19" s="28">
        <v>16</v>
      </c>
      <c r="G19" s="3">
        <f t="shared" si="1"/>
        <v>0</v>
      </c>
      <c r="H19" s="3">
        <f t="shared" si="2"/>
        <v>0</v>
      </c>
      <c r="I19" s="3">
        <f t="shared" si="3"/>
        <v>5653333.333333334</v>
      </c>
      <c r="J19" s="3" t="e">
        <f t="shared" si="0"/>
        <v>#REF!</v>
      </c>
      <c r="K19" s="3">
        <f t="shared" si="4"/>
        <v>2616000</v>
      </c>
      <c r="L19" s="3" t="e">
        <f>($C$15*'Energy prices'!#REF!/1000+$C$11*'Energy prices'!#REF!/1000)*$C$6+(J19-I19)*$C$63*$C$64</f>
        <v>#REF!</v>
      </c>
      <c r="M19" s="3"/>
      <c r="N19" s="3"/>
      <c r="O19" s="3" t="e">
        <f t="shared" si="5"/>
        <v>#REF!</v>
      </c>
    </row>
    <row r="20" spans="2:15">
      <c r="B20" s="18" t="s">
        <v>246</v>
      </c>
      <c r="C20" s="2">
        <v>0</v>
      </c>
      <c r="D20" s="23" t="s">
        <v>86</v>
      </c>
      <c r="F20" s="28">
        <v>17</v>
      </c>
      <c r="G20" s="3">
        <f t="shared" si="1"/>
        <v>0</v>
      </c>
      <c r="H20" s="3">
        <f t="shared" si="2"/>
        <v>0</v>
      </c>
      <c r="I20" s="3">
        <f t="shared" si="3"/>
        <v>5653333.333333334</v>
      </c>
      <c r="J20" s="3" t="e">
        <f t="shared" si="0"/>
        <v>#REF!</v>
      </c>
      <c r="K20" s="3">
        <f t="shared" si="4"/>
        <v>2616000</v>
      </c>
      <c r="L20" s="3" t="e">
        <f>($C$15*'Energy prices'!#REF!/1000+$C$11*'Energy prices'!#REF!/1000)*$C$6+(J20-I20)*$C$63*$C$64</f>
        <v>#REF!</v>
      </c>
      <c r="M20" s="3"/>
      <c r="N20" s="3"/>
      <c r="O20" s="3" t="e">
        <f t="shared" si="5"/>
        <v>#REF!</v>
      </c>
    </row>
    <row r="21" spans="2:15">
      <c r="B21" s="18" t="s">
        <v>247</v>
      </c>
      <c r="C21" s="2">
        <v>0</v>
      </c>
      <c r="D21" s="23" t="s">
        <v>86</v>
      </c>
      <c r="F21" s="28">
        <v>18</v>
      </c>
      <c r="G21" s="3">
        <f t="shared" si="1"/>
        <v>0</v>
      </c>
      <c r="H21" s="3">
        <f t="shared" si="2"/>
        <v>0</v>
      </c>
      <c r="I21" s="3">
        <f t="shared" si="3"/>
        <v>5653333.333333334</v>
      </c>
      <c r="J21" s="3" t="e">
        <f t="shared" si="0"/>
        <v>#REF!</v>
      </c>
      <c r="K21" s="3">
        <f t="shared" si="4"/>
        <v>2616000</v>
      </c>
      <c r="L21" s="3" t="e">
        <f>($C$15*'Energy prices'!#REF!/1000+$C$11*'Energy prices'!#REF!/1000)*$C$6+(J21-I21)*$C$63*$C$64</f>
        <v>#REF!</v>
      </c>
      <c r="M21" s="3"/>
      <c r="N21" s="3"/>
      <c r="O21" s="3" t="e">
        <f t="shared" si="5"/>
        <v>#REF!</v>
      </c>
    </row>
    <row r="22" spans="2:15">
      <c r="B22" s="18" t="s">
        <v>249</v>
      </c>
      <c r="C22" s="10">
        <v>0.1</v>
      </c>
      <c r="D22" s="23" t="s">
        <v>153</v>
      </c>
      <c r="F22" s="28">
        <v>19</v>
      </c>
      <c r="G22" s="3">
        <f t="shared" si="1"/>
        <v>0</v>
      </c>
      <c r="H22" s="3">
        <f t="shared" si="2"/>
        <v>0</v>
      </c>
      <c r="I22" s="3">
        <f t="shared" si="3"/>
        <v>5653333.333333334</v>
      </c>
      <c r="J22" s="3" t="e">
        <f t="shared" si="0"/>
        <v>#REF!</v>
      </c>
      <c r="K22" s="3">
        <f t="shared" si="4"/>
        <v>2616000</v>
      </c>
      <c r="L22" s="3" t="e">
        <f>($C$15*'Energy prices'!#REF!/1000+$C$11*'Energy prices'!#REF!/1000)*$C$6+(J22-I22)*$C$63*$C$64</f>
        <v>#REF!</v>
      </c>
      <c r="M22" s="3"/>
      <c r="N22" s="3"/>
      <c r="O22" s="3" t="e">
        <f t="shared" si="5"/>
        <v>#REF!</v>
      </c>
    </row>
    <row r="23" spans="2:15">
      <c r="B23" s="18" t="s">
        <v>250</v>
      </c>
      <c r="C23" s="10">
        <v>0.03</v>
      </c>
      <c r="D23" s="23" t="s">
        <v>104</v>
      </c>
      <c r="F23" s="28">
        <v>20</v>
      </c>
      <c r="G23" s="3">
        <f t="shared" si="1"/>
        <v>0</v>
      </c>
      <c r="H23" s="3">
        <f t="shared" si="2"/>
        <v>0</v>
      </c>
      <c r="I23" s="3">
        <f t="shared" si="3"/>
        <v>5653333.333333334</v>
      </c>
      <c r="J23" s="3" t="e">
        <f t="shared" si="0"/>
        <v>#REF!</v>
      </c>
      <c r="K23" s="3">
        <f t="shared" si="4"/>
        <v>2616000</v>
      </c>
      <c r="L23" s="3" t="e">
        <f>($C$15*'Energy prices'!#REF!/1000+$C$11*'Energy prices'!#REF!/1000)*$C$6+(J23-I23)*$C$63*$C$64</f>
        <v>#REF!</v>
      </c>
      <c r="M23" s="3"/>
      <c r="N23" s="3"/>
      <c r="O23" s="3" t="e">
        <f t="shared" si="5"/>
        <v>#REF!</v>
      </c>
    </row>
    <row r="24" spans="2:15">
      <c r="F24" s="28">
        <v>21</v>
      </c>
      <c r="G24" s="3">
        <f t="shared" si="1"/>
        <v>0</v>
      </c>
      <c r="H24" s="3">
        <f t="shared" si="2"/>
        <v>0</v>
      </c>
      <c r="I24" s="3">
        <f t="shared" si="3"/>
        <v>5653333.333333334</v>
      </c>
      <c r="J24" s="3" t="e">
        <f t="shared" si="0"/>
        <v>#REF!</v>
      </c>
      <c r="K24" s="3">
        <f t="shared" si="4"/>
        <v>2616000</v>
      </c>
      <c r="L24" s="3" t="e">
        <f>($C$15*'Energy prices'!#REF!/1000+$C$11*'Energy prices'!#REF!/1000)*$C$6+(J24-I24)*$C$63*$C$64</f>
        <v>#REF!</v>
      </c>
      <c r="M24" s="3"/>
      <c r="N24" s="3"/>
      <c r="O24" s="3" t="e">
        <f t="shared" si="5"/>
        <v>#REF!</v>
      </c>
    </row>
    <row r="25" spans="2:15">
      <c r="F25" s="28">
        <v>22</v>
      </c>
      <c r="G25" s="3">
        <f t="shared" si="1"/>
        <v>0</v>
      </c>
      <c r="H25" s="3">
        <f t="shared" si="2"/>
        <v>0</v>
      </c>
      <c r="I25" s="3">
        <f t="shared" si="3"/>
        <v>5653333.333333334</v>
      </c>
      <c r="J25" s="3" t="e">
        <f t="shared" si="0"/>
        <v>#REF!</v>
      </c>
      <c r="K25" s="3">
        <f t="shared" si="4"/>
        <v>2616000</v>
      </c>
      <c r="L25" s="3" t="e">
        <f>($C$15*'Energy prices'!#REF!/1000+$C$11*'Energy prices'!#REF!/1000)*$C$6+(J25-I25)*$C$63*$C$64</f>
        <v>#REF!</v>
      </c>
      <c r="M25" s="3"/>
      <c r="N25" s="3"/>
      <c r="O25" s="3" t="e">
        <f t="shared" si="5"/>
        <v>#REF!</v>
      </c>
    </row>
    <row r="26" spans="2:15">
      <c r="B26" s="14" t="s">
        <v>133</v>
      </c>
      <c r="C26" s="15" t="e">
        <f>NPV(C23,O4:O28)+O3</f>
        <v>#REF!</v>
      </c>
      <c r="F26" s="28">
        <v>23</v>
      </c>
      <c r="G26" s="3">
        <f t="shared" si="1"/>
        <v>0</v>
      </c>
      <c r="H26" s="3">
        <f t="shared" si="2"/>
        <v>0</v>
      </c>
      <c r="I26" s="3">
        <f t="shared" si="3"/>
        <v>5653333.333333334</v>
      </c>
      <c r="J26" s="3" t="e">
        <f t="shared" si="0"/>
        <v>#REF!</v>
      </c>
      <c r="K26" s="3">
        <f t="shared" si="4"/>
        <v>2616000</v>
      </c>
      <c r="L26" s="3" t="e">
        <f>($C$15*'Energy prices'!#REF!/1000+$C$11*'Energy prices'!#REF!/1000)*$C$6+(J26-I26)*$C$63*$C$64</f>
        <v>#REF!</v>
      </c>
      <c r="M26" s="3"/>
      <c r="N26" s="3"/>
      <c r="O26" s="3" t="e">
        <f t="shared" si="5"/>
        <v>#REF!</v>
      </c>
    </row>
    <row r="27" spans="2:15">
      <c r="B27" s="14" t="s">
        <v>134</v>
      </c>
      <c r="C27" s="16" t="e">
        <f>IRR(O3:O28)</f>
        <v>#VALUE!</v>
      </c>
      <c r="F27" s="28">
        <v>24</v>
      </c>
      <c r="G27" s="3">
        <f t="shared" si="1"/>
        <v>0</v>
      </c>
      <c r="H27" s="3">
        <f t="shared" si="2"/>
        <v>0</v>
      </c>
      <c r="I27" s="3">
        <f t="shared" si="3"/>
        <v>5653333.333333334</v>
      </c>
      <c r="J27" s="3" t="e">
        <f t="shared" si="0"/>
        <v>#REF!</v>
      </c>
      <c r="K27" s="3">
        <f t="shared" si="4"/>
        <v>2616000</v>
      </c>
      <c r="L27" s="3" t="e">
        <f>($C$15*'Energy prices'!#REF!/1000+$C$11*'Energy prices'!#REF!/1000)*$C$6+(J27-I27)*$C$63*$C$64</f>
        <v>#REF!</v>
      </c>
      <c r="M27" s="3"/>
      <c r="N27" s="3"/>
      <c r="O27" s="3" t="e">
        <f t="shared" si="5"/>
        <v>#REF!</v>
      </c>
    </row>
    <row r="28" spans="2:15">
      <c r="B28" s="14" t="s">
        <v>135</v>
      </c>
      <c r="C28" s="17" t="e">
        <f>(H29+L29+J29+N29)/(G29+I29+K29+M29)</f>
        <v>#REF!</v>
      </c>
      <c r="F28" s="28">
        <v>25</v>
      </c>
      <c r="G28" s="3">
        <f t="shared" si="1"/>
        <v>0</v>
      </c>
      <c r="H28" s="3">
        <f t="shared" si="2"/>
        <v>0</v>
      </c>
      <c r="I28" s="3">
        <f t="shared" si="3"/>
        <v>5653333.333333334</v>
      </c>
      <c r="J28" s="3" t="e">
        <f t="shared" si="0"/>
        <v>#REF!</v>
      </c>
      <c r="K28" s="3">
        <f t="shared" si="4"/>
        <v>2616000</v>
      </c>
      <c r="L28" s="3" t="e">
        <f>($C$15*'Energy prices'!#REF!/1000+$C$11*'Energy prices'!#REF!/1000)*$C$6+(J28-I28)*$C$63*$C$64</f>
        <v>#REF!</v>
      </c>
      <c r="M28" s="3"/>
      <c r="N28" s="3">
        <f>C2*C22</f>
        <v>150000000</v>
      </c>
      <c r="O28" s="3" t="e">
        <f t="shared" si="5"/>
        <v>#REF!</v>
      </c>
    </row>
    <row r="29" spans="2:15">
      <c r="F29" s="29" t="s">
        <v>116</v>
      </c>
      <c r="G29" s="32">
        <f t="shared" ref="G29:O29" si="6">NPV($C$23,G4:G28)+G3</f>
        <v>0</v>
      </c>
      <c r="H29" s="32">
        <f t="shared" si="6"/>
        <v>0</v>
      </c>
      <c r="I29" s="32">
        <f t="shared" si="6"/>
        <v>98442328.281358391</v>
      </c>
      <c r="J29" s="32" t="e">
        <f t="shared" si="6"/>
        <v>#REF!</v>
      </c>
      <c r="K29" s="32">
        <f t="shared" si="6"/>
        <v>45552794.360383272</v>
      </c>
      <c r="L29" s="32" t="e">
        <f t="shared" si="6"/>
        <v>#REF!</v>
      </c>
      <c r="M29" s="32">
        <f t="shared" si="6"/>
        <v>1023573200.9925557</v>
      </c>
      <c r="N29" s="32">
        <f t="shared" si="6"/>
        <v>145631067.96116504</v>
      </c>
      <c r="O29" s="32" t="e">
        <f t="shared" si="6"/>
        <v>#REF!</v>
      </c>
    </row>
    <row r="30" spans="2:15">
      <c r="B30" s="18" t="s">
        <v>156</v>
      </c>
      <c r="C30" s="2">
        <v>1</v>
      </c>
      <c r="D30" s="23" t="s">
        <v>157</v>
      </c>
    </row>
    <row r="31" spans="2:15">
      <c r="B31" s="18" t="s">
        <v>158</v>
      </c>
      <c r="C31" s="30">
        <v>2</v>
      </c>
      <c r="D31" s="23" t="s">
        <v>159</v>
      </c>
    </row>
    <row r="32" spans="2:15">
      <c r="B32" s="18" t="s">
        <v>160</v>
      </c>
      <c r="C32" s="2">
        <v>0</v>
      </c>
      <c r="D32" s="24" t="s">
        <v>161</v>
      </c>
    </row>
    <row r="35" spans="2:3">
      <c r="B35" s="22" t="s">
        <v>162</v>
      </c>
    </row>
    <row r="36" spans="2:3">
      <c r="B36" s="220" t="s">
        <v>163</v>
      </c>
      <c r="C36" s="4" t="s">
        <v>164</v>
      </c>
    </row>
    <row r="37" spans="2:3">
      <c r="B37" s="220"/>
      <c r="C37" s="4" t="s">
        <v>165</v>
      </c>
    </row>
    <row r="38" spans="2:3">
      <c r="B38" s="9" t="s">
        <v>166</v>
      </c>
      <c r="C38" s="6">
        <f>externalities!D25</f>
        <v>51</v>
      </c>
    </row>
    <row r="39" spans="2:3">
      <c r="B39" s="9" t="s">
        <v>167</v>
      </c>
      <c r="C39" s="6">
        <f>externalities!D27</f>
        <v>43.4</v>
      </c>
    </row>
    <row r="40" spans="2:3">
      <c r="B40" s="9" t="s">
        <v>168</v>
      </c>
      <c r="C40" s="6">
        <f>externalities!D22</f>
        <v>36</v>
      </c>
    </row>
    <row r="41" spans="2:3">
      <c r="B41" s="9" t="s">
        <v>169</v>
      </c>
      <c r="C41" s="6">
        <f>externalities!D24</f>
        <v>32.200000000000003</v>
      </c>
    </row>
    <row r="42" spans="2:3">
      <c r="B42" s="9" t="s">
        <v>170</v>
      </c>
      <c r="C42" s="6">
        <f>externalities!D17</f>
        <v>36</v>
      </c>
    </row>
    <row r="43" spans="2:3">
      <c r="B43" s="9" t="s">
        <v>171</v>
      </c>
      <c r="C43" s="6">
        <f>externalities!D16</f>
        <v>21.8</v>
      </c>
    </row>
    <row r="44" spans="2:3">
      <c r="B44" s="9" t="s">
        <v>172</v>
      </c>
      <c r="C44" s="6">
        <f>externalities!D19</f>
        <v>48.5</v>
      </c>
    </row>
    <row r="45" spans="2:3">
      <c r="B45" s="9" t="s">
        <v>173</v>
      </c>
      <c r="C45" s="6">
        <f>externalities!D35</f>
        <v>24</v>
      </c>
    </row>
    <row r="46" spans="2:3">
      <c r="B46" s="9" t="s">
        <v>174</v>
      </c>
      <c r="C46" s="6">
        <f>externalities!D31</f>
        <v>9.6</v>
      </c>
    </row>
    <row r="48" spans="2:3">
      <c r="B48" s="22" t="s">
        <v>177</v>
      </c>
    </row>
    <row r="49" spans="2:4">
      <c r="B49" s="4" t="s">
        <v>178</v>
      </c>
      <c r="C49" s="5">
        <v>0.03</v>
      </c>
      <c r="D49" s="19"/>
    </row>
    <row r="50" spans="2:4">
      <c r="B50" s="4" t="s">
        <v>179</v>
      </c>
      <c r="C50" s="2" t="e">
        <f>C51+C52</f>
        <v>#REF!</v>
      </c>
      <c r="D50" s="19" t="s">
        <v>86</v>
      </c>
    </row>
    <row r="51" spans="2:4">
      <c r="B51" s="20" t="s">
        <v>180</v>
      </c>
      <c r="C51" s="2" t="e">
        <f>J4-I4</f>
        <v>#REF!</v>
      </c>
      <c r="D51" s="19" t="s">
        <v>86</v>
      </c>
    </row>
    <row r="52" spans="2:4">
      <c r="B52" s="20" t="s">
        <v>181</v>
      </c>
      <c r="C52" s="2">
        <f>H4-G4</f>
        <v>0</v>
      </c>
      <c r="D52" s="19" t="s">
        <v>86</v>
      </c>
    </row>
    <row r="53" spans="2:4">
      <c r="B53" s="18" t="s">
        <v>182</v>
      </c>
      <c r="C53" s="2" t="e">
        <f>IF(externalities!$C$12=1,C50/C49,0)</f>
        <v>#REF!</v>
      </c>
      <c r="D53" s="19" t="s">
        <v>86</v>
      </c>
    </row>
    <row r="55" spans="2:4">
      <c r="B55" s="22" t="s">
        <v>183</v>
      </c>
    </row>
    <row r="56" spans="2:4">
      <c r="B56" s="25" t="s">
        <v>183</v>
      </c>
      <c r="C56" s="4" t="s">
        <v>164</v>
      </c>
      <c r="D56" s="21"/>
    </row>
    <row r="57" spans="2:4">
      <c r="B57" s="9" t="s">
        <v>184</v>
      </c>
      <c r="C57" s="26">
        <v>5</v>
      </c>
    </row>
    <row r="58" spans="2:4">
      <c r="B58" s="9" t="s">
        <v>185</v>
      </c>
      <c r="C58" s="26">
        <v>4</v>
      </c>
    </row>
    <row r="59" spans="2:4">
      <c r="B59" s="9" t="s">
        <v>186</v>
      </c>
      <c r="C59" s="26">
        <v>3</v>
      </c>
    </row>
    <row r="60" spans="2:4">
      <c r="B60" s="9" t="s">
        <v>187</v>
      </c>
      <c r="C60" s="26">
        <v>2</v>
      </c>
    </row>
    <row r="61" spans="2:4">
      <c r="B61" s="9" t="s">
        <v>188</v>
      </c>
      <c r="C61" s="26">
        <v>1</v>
      </c>
    </row>
    <row r="63" spans="2:4">
      <c r="B63" s="26" t="s">
        <v>189</v>
      </c>
      <c r="C63" s="7">
        <f>(IF(C32=1,0.2,IF(C32=2,0.4,IF(C32=3,0.6,IF(C32=4,0.8,IF(C32=5,1,0))))))</f>
        <v>0</v>
      </c>
      <c r="D63" s="11" t="s">
        <v>190</v>
      </c>
    </row>
    <row r="64" spans="2:4">
      <c r="B64" s="26" t="s">
        <v>189</v>
      </c>
      <c r="C64" s="10">
        <v>0.1</v>
      </c>
      <c r="D64" s="11" t="s">
        <v>191</v>
      </c>
    </row>
    <row r="67" spans="2:3">
      <c r="C67" s="1"/>
    </row>
    <row r="68" spans="2:3">
      <c r="C68" s="1"/>
    </row>
    <row r="69" spans="2:3">
      <c r="B69" s="8"/>
      <c r="C69" s="1"/>
    </row>
  </sheetData>
  <mergeCells count="1">
    <mergeCell ref="B36:B37"/>
  </mergeCells>
  <pageMargins left="0.7" right="0.7" top="0.75" bottom="0.75" header="0.3" footer="0.3"/>
  <pageSetup orientation="portrait" horizontalDpi="4294967293" verticalDpi="4294967293"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0B2B9-A948-4774-93E4-A74F2E23825D}">
  <sheetPr>
    <tabColor theme="3" tint="-0.499984740745262"/>
  </sheetPr>
  <dimension ref="B2:M37"/>
  <sheetViews>
    <sheetView zoomScale="85" zoomScaleNormal="85" workbookViewId="0">
      <selection activeCell="F29" sqref="F29"/>
    </sheetView>
  </sheetViews>
  <sheetFormatPr defaultColWidth="8.85546875" defaultRowHeight="14.45"/>
  <cols>
    <col min="1" max="1" width="3.5703125" style="1" customWidth="1"/>
    <col min="2" max="2" width="56.42578125" style="1" customWidth="1"/>
    <col min="3" max="3" width="20.5703125" style="12" customWidth="1"/>
    <col min="4" max="4" width="20.140625" style="1" bestFit="1" customWidth="1"/>
    <col min="5" max="6" width="8.85546875" style="1"/>
    <col min="7" max="7" width="12.85546875" style="1" bestFit="1" customWidth="1"/>
    <col min="8" max="8" width="13.42578125" style="1" bestFit="1" customWidth="1"/>
    <col min="9" max="9" width="16.5703125" style="1" bestFit="1" customWidth="1"/>
    <col min="10" max="10" width="17" style="1" bestFit="1" customWidth="1"/>
    <col min="11" max="11" width="18.42578125" style="1" bestFit="1" customWidth="1"/>
    <col min="12" max="12" width="18.5703125" style="1" bestFit="1" customWidth="1"/>
    <col min="13" max="13" width="20" style="1" bestFit="1" customWidth="1"/>
    <col min="14" max="16384" width="8.85546875" style="1"/>
  </cols>
  <sheetData>
    <row r="2" spans="2:13">
      <c r="B2" s="18" t="s">
        <v>251</v>
      </c>
      <c r="C2" s="2">
        <v>1500000000</v>
      </c>
      <c r="D2" s="23" t="s">
        <v>86</v>
      </c>
      <c r="F2" s="27" t="s">
        <v>87</v>
      </c>
      <c r="G2" s="27" t="s">
        <v>88</v>
      </c>
      <c r="H2" s="27" t="s">
        <v>89</v>
      </c>
      <c r="I2" s="27" t="s">
        <v>90</v>
      </c>
      <c r="J2" s="27" t="s">
        <v>91</v>
      </c>
      <c r="K2" s="27" t="s">
        <v>92</v>
      </c>
      <c r="L2" s="27" t="s">
        <v>93</v>
      </c>
      <c r="M2" s="27" t="s">
        <v>94</v>
      </c>
    </row>
    <row r="3" spans="2:13">
      <c r="B3" s="18" t="s">
        <v>255</v>
      </c>
      <c r="C3" s="2">
        <v>18000</v>
      </c>
      <c r="D3" s="23" t="s">
        <v>86</v>
      </c>
      <c r="F3" s="28">
        <v>0</v>
      </c>
      <c r="G3" s="3"/>
      <c r="H3" s="3"/>
      <c r="I3" s="3"/>
      <c r="J3" s="3"/>
      <c r="K3" s="3">
        <f>C2-C7*C10</f>
        <v>1325581395.3488371</v>
      </c>
      <c r="L3" s="3"/>
      <c r="M3" s="3">
        <f>(H3+J3+L3)-(G3+I3+K3)</f>
        <v>-1325581395.3488371</v>
      </c>
    </row>
    <row r="4" spans="2:13">
      <c r="B4" s="18" t="s">
        <v>256</v>
      </c>
      <c r="C4" s="2">
        <v>8000</v>
      </c>
      <c r="D4" s="23" t="s">
        <v>86</v>
      </c>
      <c r="F4" s="28">
        <v>1</v>
      </c>
      <c r="G4" s="3">
        <f>$C$27*$C$10</f>
        <v>4360465.1162790693</v>
      </c>
      <c r="H4" s="3">
        <f t="shared" ref="H4:H28" si="0">$C$26</f>
        <v>0</v>
      </c>
      <c r="I4" s="3">
        <f>($C$15*$C$14*(1-$C$18))/$C$16*$C$22*$C$10</f>
        <v>4837209.3023255812</v>
      </c>
      <c r="J4" s="3" t="e">
        <f>($C$19*$C$22+$C$15*$C$24+$C$21*($C$22-$C$23))*$C$10</f>
        <v>#REF!</v>
      </c>
      <c r="K4" s="3"/>
      <c r="L4" s="3"/>
      <c r="M4" s="3" t="e">
        <f>(H4+J4+L4)-(G4+I4+K4)</f>
        <v>#REF!</v>
      </c>
    </row>
    <row r="5" spans="2:13">
      <c r="B5" s="18" t="s">
        <v>236</v>
      </c>
      <c r="C5" s="2">
        <f>C8*C9</f>
        <v>8400</v>
      </c>
      <c r="D5" s="23" t="s">
        <v>86</v>
      </c>
      <c r="F5" s="28">
        <v>2</v>
      </c>
      <c r="G5" s="3">
        <f t="shared" ref="G5:G28" si="1">$C$27*$C$10</f>
        <v>4360465.1162790693</v>
      </c>
      <c r="H5" s="3">
        <f t="shared" si="0"/>
        <v>0</v>
      </c>
      <c r="I5" s="3">
        <f t="shared" ref="I5:I28" si="2">($C$15*$C$14*(1-$C$18))/$C$16*$C$22*$C$10</f>
        <v>4837209.3023255812</v>
      </c>
      <c r="J5" s="3" t="e">
        <f t="shared" ref="J5:J28" si="3">($C$19*$C$22+$C$15*$C$24+$C$21*($C$22-$C$23))*$C$10</f>
        <v>#REF!</v>
      </c>
      <c r="K5" s="3"/>
      <c r="L5" s="3"/>
      <c r="M5" s="3" t="e">
        <f t="shared" ref="M5:M28" si="4">(H5+J5+L5)-(G5+I5+K5)</f>
        <v>#REF!</v>
      </c>
    </row>
    <row r="6" spans="2:13">
      <c r="B6" s="18" t="s">
        <v>237</v>
      </c>
      <c r="C6" s="2">
        <f>(C3+C4+C5)*(1-C35)</f>
        <v>34400</v>
      </c>
      <c r="D6" s="23" t="s">
        <v>86</v>
      </c>
      <c r="F6" s="28">
        <v>3</v>
      </c>
      <c r="G6" s="3">
        <f t="shared" si="1"/>
        <v>4360465.1162790693</v>
      </c>
      <c r="H6" s="3">
        <f t="shared" si="0"/>
        <v>0</v>
      </c>
      <c r="I6" s="3">
        <f t="shared" si="2"/>
        <v>4837209.3023255812</v>
      </c>
      <c r="J6" s="3" t="e">
        <f t="shared" si="3"/>
        <v>#REF!</v>
      </c>
      <c r="K6" s="3"/>
      <c r="L6" s="3"/>
      <c r="M6" s="3" t="e">
        <f t="shared" si="4"/>
        <v>#REF!</v>
      </c>
    </row>
    <row r="7" spans="2:13">
      <c r="B7" s="18" t="s">
        <v>257</v>
      </c>
      <c r="C7" s="2">
        <v>4000</v>
      </c>
      <c r="D7" s="23" t="s">
        <v>86</v>
      </c>
      <c r="F7" s="28">
        <v>4</v>
      </c>
      <c r="G7" s="3">
        <f t="shared" si="1"/>
        <v>4360465.1162790693</v>
      </c>
      <c r="H7" s="3">
        <f t="shared" si="0"/>
        <v>0</v>
      </c>
      <c r="I7" s="3">
        <f t="shared" si="2"/>
        <v>4837209.3023255812</v>
      </c>
      <c r="J7" s="3" t="e">
        <f t="shared" si="3"/>
        <v>#REF!</v>
      </c>
      <c r="K7" s="3"/>
      <c r="L7" s="3"/>
      <c r="M7" s="3" t="e">
        <f t="shared" si="4"/>
        <v>#REF!</v>
      </c>
    </row>
    <row r="8" spans="2:13">
      <c r="B8" s="18" t="s">
        <v>238</v>
      </c>
      <c r="C8" s="31">
        <v>4</v>
      </c>
      <c r="D8" s="23" t="s">
        <v>214</v>
      </c>
      <c r="F8" s="28">
        <v>5</v>
      </c>
      <c r="G8" s="3">
        <f t="shared" si="1"/>
        <v>4360465.1162790693</v>
      </c>
      <c r="H8" s="3">
        <f t="shared" si="0"/>
        <v>0</v>
      </c>
      <c r="I8" s="3">
        <f t="shared" si="2"/>
        <v>4837209.3023255812</v>
      </c>
      <c r="J8" s="3" t="e">
        <f t="shared" si="3"/>
        <v>#REF!</v>
      </c>
      <c r="K8" s="3"/>
      <c r="L8" s="3"/>
      <c r="M8" s="3" t="e">
        <f t="shared" si="4"/>
        <v>#REF!</v>
      </c>
    </row>
    <row r="9" spans="2:13">
      <c r="B9" s="18" t="s">
        <v>240</v>
      </c>
      <c r="C9" s="31">
        <v>2100</v>
      </c>
      <c r="D9" s="23" t="s">
        <v>216</v>
      </c>
      <c r="F9" s="28">
        <v>6</v>
      </c>
      <c r="G9" s="3">
        <f t="shared" si="1"/>
        <v>4360465.1162790693</v>
      </c>
      <c r="H9" s="3">
        <f t="shared" si="0"/>
        <v>0</v>
      </c>
      <c r="I9" s="3">
        <f t="shared" si="2"/>
        <v>4837209.3023255812</v>
      </c>
      <c r="J9" s="3" t="e">
        <f t="shared" si="3"/>
        <v>#REF!</v>
      </c>
      <c r="K9" s="3"/>
      <c r="L9" s="3"/>
      <c r="M9" s="3" t="e">
        <f t="shared" si="4"/>
        <v>#REF!</v>
      </c>
    </row>
    <row r="10" spans="2:13">
      <c r="B10" s="18" t="s">
        <v>241</v>
      </c>
      <c r="C10" s="36">
        <f>C2/C6</f>
        <v>43604.651162790695</v>
      </c>
      <c r="D10" s="23" t="s">
        <v>242</v>
      </c>
      <c r="F10" s="28">
        <v>7</v>
      </c>
      <c r="G10" s="3">
        <f t="shared" si="1"/>
        <v>4360465.1162790693</v>
      </c>
      <c r="H10" s="3">
        <f t="shared" si="0"/>
        <v>0</v>
      </c>
      <c r="I10" s="3">
        <f t="shared" si="2"/>
        <v>4837209.3023255812</v>
      </c>
      <c r="J10" s="3" t="e">
        <f t="shared" si="3"/>
        <v>#REF!</v>
      </c>
      <c r="K10" s="3"/>
      <c r="L10" s="3"/>
      <c r="M10" s="3" t="e">
        <f t="shared" si="4"/>
        <v>#REF!</v>
      </c>
    </row>
    <row r="11" spans="2:13">
      <c r="B11" s="18" t="s">
        <v>258</v>
      </c>
      <c r="C11" s="2">
        <v>580</v>
      </c>
      <c r="D11" s="23" t="s">
        <v>101</v>
      </c>
      <c r="F11" s="28">
        <v>8</v>
      </c>
      <c r="G11" s="3">
        <f t="shared" si="1"/>
        <v>4360465.1162790693</v>
      </c>
      <c r="H11" s="3">
        <f t="shared" si="0"/>
        <v>0</v>
      </c>
      <c r="I11" s="3">
        <f t="shared" si="2"/>
        <v>4837209.3023255812</v>
      </c>
      <c r="J11" s="3" t="e">
        <f t="shared" si="3"/>
        <v>#REF!</v>
      </c>
      <c r="K11" s="3"/>
      <c r="L11" s="3"/>
      <c r="M11" s="3" t="e">
        <f t="shared" si="4"/>
        <v>#REF!</v>
      </c>
    </row>
    <row r="12" spans="2:13">
      <c r="B12" s="18" t="s">
        <v>259</v>
      </c>
      <c r="C12" s="2">
        <v>6500</v>
      </c>
      <c r="D12" s="23" t="s">
        <v>101</v>
      </c>
      <c r="F12" s="28">
        <v>9</v>
      </c>
      <c r="G12" s="3">
        <f t="shared" si="1"/>
        <v>4360465.1162790693</v>
      </c>
      <c r="H12" s="3">
        <f t="shared" si="0"/>
        <v>0</v>
      </c>
      <c r="I12" s="3">
        <f t="shared" si="2"/>
        <v>4837209.3023255812</v>
      </c>
      <c r="J12" s="3" t="e">
        <f t="shared" si="3"/>
        <v>#REF!</v>
      </c>
      <c r="K12" s="3"/>
      <c r="L12" s="3"/>
      <c r="M12" s="3" t="e">
        <f t="shared" si="4"/>
        <v>#REF!</v>
      </c>
    </row>
    <row r="13" spans="2:13">
      <c r="B13" s="18" t="s">
        <v>260</v>
      </c>
      <c r="C13" s="10">
        <v>0.95</v>
      </c>
      <c r="D13" s="23" t="s">
        <v>104</v>
      </c>
      <c r="F13" s="28">
        <v>10</v>
      </c>
      <c r="G13" s="3">
        <f t="shared" si="1"/>
        <v>4360465.1162790693</v>
      </c>
      <c r="H13" s="3">
        <f t="shared" si="0"/>
        <v>0</v>
      </c>
      <c r="I13" s="3">
        <f t="shared" si="2"/>
        <v>4837209.3023255812</v>
      </c>
      <c r="J13" s="3" t="e">
        <f t="shared" si="3"/>
        <v>#REF!</v>
      </c>
      <c r="K13" s="3"/>
      <c r="L13" s="3"/>
      <c r="M13" s="3" t="e">
        <f t="shared" si="4"/>
        <v>#REF!</v>
      </c>
    </row>
    <row r="14" spans="2:13">
      <c r="B14" s="18" t="s">
        <v>261</v>
      </c>
      <c r="C14" s="10">
        <v>0.8</v>
      </c>
      <c r="D14" s="23" t="s">
        <v>104</v>
      </c>
      <c r="F14" s="28">
        <v>11</v>
      </c>
      <c r="G14" s="3">
        <f t="shared" si="1"/>
        <v>4360465.1162790693</v>
      </c>
      <c r="H14" s="3">
        <f t="shared" si="0"/>
        <v>0</v>
      </c>
      <c r="I14" s="3">
        <f t="shared" si="2"/>
        <v>4837209.3023255812</v>
      </c>
      <c r="J14" s="3" t="e">
        <f t="shared" si="3"/>
        <v>#REF!</v>
      </c>
      <c r="K14" s="3"/>
      <c r="L14" s="3"/>
      <c r="M14" s="3" t="e">
        <f t="shared" si="4"/>
        <v>#REF!</v>
      </c>
    </row>
    <row r="15" spans="2:13">
      <c r="B15" s="18" t="s">
        <v>262</v>
      </c>
      <c r="C15" s="2">
        <f>C12</f>
        <v>6500</v>
      </c>
      <c r="D15" s="23" t="s">
        <v>101</v>
      </c>
      <c r="F15" s="28">
        <v>12</v>
      </c>
      <c r="G15" s="3">
        <f t="shared" si="1"/>
        <v>4360465.1162790693</v>
      </c>
      <c r="H15" s="3">
        <f t="shared" si="0"/>
        <v>0</v>
      </c>
      <c r="I15" s="3">
        <f t="shared" si="2"/>
        <v>4837209.3023255812</v>
      </c>
      <c r="J15" s="3" t="e">
        <f t="shared" si="3"/>
        <v>#REF!</v>
      </c>
      <c r="K15" s="3"/>
      <c r="L15" s="3"/>
      <c r="M15" s="3" t="e">
        <f t="shared" si="4"/>
        <v>#REF!</v>
      </c>
    </row>
    <row r="16" spans="2:13">
      <c r="B16" s="18" t="s">
        <v>263</v>
      </c>
      <c r="C16" s="7">
        <v>4.5</v>
      </c>
      <c r="D16" s="23"/>
      <c r="F16" s="28">
        <v>13</v>
      </c>
      <c r="G16" s="3">
        <f t="shared" si="1"/>
        <v>4360465.1162790693</v>
      </c>
      <c r="H16" s="3">
        <f t="shared" si="0"/>
        <v>0</v>
      </c>
      <c r="I16" s="3">
        <f t="shared" si="2"/>
        <v>4837209.3023255812</v>
      </c>
      <c r="J16" s="3" t="e">
        <f t="shared" si="3"/>
        <v>#REF!</v>
      </c>
      <c r="K16" s="3"/>
      <c r="L16" s="3"/>
      <c r="M16" s="3" t="e">
        <f t="shared" si="4"/>
        <v>#REF!</v>
      </c>
    </row>
    <row r="17" spans="2:13">
      <c r="B17" s="18" t="s">
        <v>264</v>
      </c>
      <c r="C17" s="10">
        <v>0.6</v>
      </c>
      <c r="D17" s="23" t="s">
        <v>104</v>
      </c>
      <c r="F17" s="28">
        <v>14</v>
      </c>
      <c r="G17" s="3">
        <f t="shared" si="1"/>
        <v>4360465.1162790693</v>
      </c>
      <c r="H17" s="3">
        <f t="shared" si="0"/>
        <v>0</v>
      </c>
      <c r="I17" s="3">
        <f t="shared" si="2"/>
        <v>4837209.3023255812</v>
      </c>
      <c r="J17" s="3" t="e">
        <f t="shared" si="3"/>
        <v>#REF!</v>
      </c>
      <c r="K17" s="3"/>
      <c r="L17" s="3"/>
      <c r="M17" s="3" t="e">
        <f t="shared" si="4"/>
        <v>#REF!</v>
      </c>
    </row>
    <row r="18" spans="2:13">
      <c r="B18" s="18" t="s">
        <v>265</v>
      </c>
      <c r="C18" s="10">
        <v>0.6</v>
      </c>
      <c r="D18" s="23" t="s">
        <v>104</v>
      </c>
      <c r="F18" s="28">
        <v>15</v>
      </c>
      <c r="G18" s="3">
        <f t="shared" si="1"/>
        <v>4360465.1162790693</v>
      </c>
      <c r="H18" s="3">
        <f t="shared" si="0"/>
        <v>0</v>
      </c>
      <c r="I18" s="3">
        <f t="shared" si="2"/>
        <v>4837209.3023255812</v>
      </c>
      <c r="J18" s="3" t="e">
        <f t="shared" si="3"/>
        <v>#REF!</v>
      </c>
      <c r="K18" s="3"/>
      <c r="L18" s="3"/>
      <c r="M18" s="3" t="e">
        <f t="shared" si="4"/>
        <v>#REF!</v>
      </c>
    </row>
    <row r="19" spans="2:13">
      <c r="B19" s="18" t="s">
        <v>266</v>
      </c>
      <c r="C19" s="2">
        <f>C11*C17</f>
        <v>348</v>
      </c>
      <c r="D19" s="23" t="s">
        <v>101</v>
      </c>
      <c r="F19" s="28">
        <v>16</v>
      </c>
      <c r="G19" s="3">
        <f t="shared" si="1"/>
        <v>4360465.1162790693</v>
      </c>
      <c r="H19" s="3">
        <f t="shared" si="0"/>
        <v>0</v>
      </c>
      <c r="I19" s="3">
        <f t="shared" si="2"/>
        <v>4837209.3023255812</v>
      </c>
      <c r="J19" s="3" t="e">
        <f t="shared" si="3"/>
        <v>#REF!</v>
      </c>
      <c r="K19" s="3"/>
      <c r="L19" s="3"/>
      <c r="M19" s="3" t="e">
        <f t="shared" si="4"/>
        <v>#REF!</v>
      </c>
    </row>
    <row r="20" spans="2:13">
      <c r="B20" s="18" t="s">
        <v>267</v>
      </c>
      <c r="C20" s="2">
        <f>C15*C18</f>
        <v>3900</v>
      </c>
      <c r="D20" s="23" t="s">
        <v>101</v>
      </c>
      <c r="F20" s="28">
        <v>17</v>
      </c>
      <c r="G20" s="3">
        <f t="shared" si="1"/>
        <v>4360465.1162790693</v>
      </c>
      <c r="H20" s="3">
        <f t="shared" si="0"/>
        <v>0</v>
      </c>
      <c r="I20" s="3">
        <f t="shared" si="2"/>
        <v>4837209.3023255812</v>
      </c>
      <c r="J20" s="3" t="e">
        <f t="shared" si="3"/>
        <v>#REF!</v>
      </c>
      <c r="K20" s="3"/>
      <c r="L20" s="3"/>
      <c r="M20" s="3" t="e">
        <f t="shared" si="4"/>
        <v>#REF!</v>
      </c>
    </row>
    <row r="21" spans="2:13">
      <c r="B21" s="18" t="s">
        <v>270</v>
      </c>
      <c r="C21" s="31">
        <f>4000+C11*(1-C17)+(C15-C20)/C16</f>
        <v>4809.7777777777774</v>
      </c>
      <c r="D21" s="23" t="s">
        <v>101</v>
      </c>
      <c r="F21" s="28">
        <v>18</v>
      </c>
      <c r="G21" s="3">
        <f t="shared" si="1"/>
        <v>4360465.1162790693</v>
      </c>
      <c r="H21" s="3">
        <f t="shared" si="0"/>
        <v>0</v>
      </c>
      <c r="I21" s="3">
        <f t="shared" si="2"/>
        <v>4837209.3023255812</v>
      </c>
      <c r="J21" s="3" t="e">
        <f t="shared" si="3"/>
        <v>#REF!</v>
      </c>
      <c r="K21" s="3"/>
      <c r="L21" s="3"/>
      <c r="M21" s="3" t="e">
        <f t="shared" si="4"/>
        <v>#REF!</v>
      </c>
    </row>
    <row r="22" spans="2:13">
      <c r="B22" s="18" t="s">
        <v>244</v>
      </c>
      <c r="C22" s="13">
        <f>'Energy prices'!$C$6/1000</f>
        <v>0.24</v>
      </c>
      <c r="D22" s="23" t="s">
        <v>114</v>
      </c>
      <c r="F22" s="28">
        <v>19</v>
      </c>
      <c r="G22" s="3">
        <f t="shared" si="1"/>
        <v>4360465.1162790693</v>
      </c>
      <c r="H22" s="3">
        <f t="shared" si="0"/>
        <v>0</v>
      </c>
      <c r="I22" s="3">
        <f t="shared" si="2"/>
        <v>4837209.3023255812</v>
      </c>
      <c r="J22" s="3" t="e">
        <f t="shared" si="3"/>
        <v>#REF!</v>
      </c>
      <c r="K22" s="3"/>
      <c r="L22" s="3"/>
      <c r="M22" s="3" t="e">
        <f t="shared" si="4"/>
        <v>#REF!</v>
      </c>
    </row>
    <row r="23" spans="2:13">
      <c r="B23" s="18" t="s">
        <v>245</v>
      </c>
      <c r="C23" s="34">
        <v>9.5000000000000001E-2</v>
      </c>
      <c r="D23" s="23" t="s">
        <v>114</v>
      </c>
      <c r="F23" s="28">
        <v>20</v>
      </c>
      <c r="G23" s="3">
        <f t="shared" si="1"/>
        <v>4360465.1162790693</v>
      </c>
      <c r="H23" s="3">
        <f t="shared" si="0"/>
        <v>0</v>
      </c>
      <c r="I23" s="3">
        <f t="shared" si="2"/>
        <v>4837209.3023255812</v>
      </c>
      <c r="J23" s="3" t="e">
        <f t="shared" si="3"/>
        <v>#REF!</v>
      </c>
      <c r="K23" s="3"/>
      <c r="L23" s="3"/>
      <c r="M23" s="3" t="e">
        <f t="shared" si="4"/>
        <v>#REF!</v>
      </c>
    </row>
    <row r="24" spans="2:13">
      <c r="B24" s="18" t="s">
        <v>268</v>
      </c>
      <c r="C24" s="13" t="e">
        <f>'Energy prices'!#REF!</f>
        <v>#REF!</v>
      </c>
      <c r="D24" s="23" t="s">
        <v>114</v>
      </c>
      <c r="F24" s="28">
        <v>21</v>
      </c>
      <c r="G24" s="3">
        <f t="shared" si="1"/>
        <v>4360465.1162790693</v>
      </c>
      <c r="H24" s="3">
        <f t="shared" si="0"/>
        <v>0</v>
      </c>
      <c r="I24" s="3">
        <f t="shared" si="2"/>
        <v>4837209.3023255812</v>
      </c>
      <c r="J24" s="3" t="e">
        <f t="shared" si="3"/>
        <v>#REF!</v>
      </c>
      <c r="K24" s="3"/>
      <c r="L24" s="3"/>
      <c r="M24" s="3" t="e">
        <f t="shared" si="4"/>
        <v>#REF!</v>
      </c>
    </row>
    <row r="25" spans="2:13">
      <c r="B25" s="18" t="s">
        <v>269</v>
      </c>
      <c r="C25" s="13">
        <f>'Energy prices'!$C$8/1000</f>
        <v>0.114</v>
      </c>
      <c r="D25" s="23" t="s">
        <v>114</v>
      </c>
      <c r="F25" s="28">
        <v>22</v>
      </c>
      <c r="G25" s="3">
        <f t="shared" si="1"/>
        <v>4360465.1162790693</v>
      </c>
      <c r="H25" s="3">
        <f t="shared" si="0"/>
        <v>0</v>
      </c>
      <c r="I25" s="3">
        <f t="shared" si="2"/>
        <v>4837209.3023255812</v>
      </c>
      <c r="J25" s="3" t="e">
        <f t="shared" si="3"/>
        <v>#REF!</v>
      </c>
      <c r="K25" s="3"/>
      <c r="L25" s="3"/>
      <c r="M25" s="3" t="e">
        <f t="shared" si="4"/>
        <v>#REF!</v>
      </c>
    </row>
    <row r="26" spans="2:13">
      <c r="B26" s="18" t="s">
        <v>246</v>
      </c>
      <c r="C26" s="2">
        <v>0</v>
      </c>
      <c r="D26" s="23" t="s">
        <v>86</v>
      </c>
      <c r="F26" s="28">
        <v>23</v>
      </c>
      <c r="G26" s="3">
        <f t="shared" si="1"/>
        <v>4360465.1162790693</v>
      </c>
      <c r="H26" s="3">
        <f t="shared" si="0"/>
        <v>0</v>
      </c>
      <c r="I26" s="3">
        <f t="shared" si="2"/>
        <v>4837209.3023255812</v>
      </c>
      <c r="J26" s="3" t="e">
        <f t="shared" si="3"/>
        <v>#REF!</v>
      </c>
      <c r="K26" s="3"/>
      <c r="L26" s="3"/>
      <c r="M26" s="3" t="e">
        <f t="shared" si="4"/>
        <v>#REF!</v>
      </c>
    </row>
    <row r="27" spans="2:13">
      <c r="B27" s="18" t="s">
        <v>247</v>
      </c>
      <c r="C27" s="2">
        <v>100</v>
      </c>
      <c r="D27" s="23" t="s">
        <v>86</v>
      </c>
      <c r="F27" s="28">
        <v>24</v>
      </c>
      <c r="G27" s="3">
        <f t="shared" si="1"/>
        <v>4360465.1162790693</v>
      </c>
      <c r="H27" s="3">
        <f t="shared" si="0"/>
        <v>0</v>
      </c>
      <c r="I27" s="3">
        <f t="shared" si="2"/>
        <v>4837209.3023255812</v>
      </c>
      <c r="J27" s="3" t="e">
        <f t="shared" si="3"/>
        <v>#REF!</v>
      </c>
      <c r="K27" s="3"/>
      <c r="L27" s="3"/>
      <c r="M27" s="3" t="e">
        <f t="shared" si="4"/>
        <v>#REF!</v>
      </c>
    </row>
    <row r="28" spans="2:13">
      <c r="B28" s="18" t="s">
        <v>249</v>
      </c>
      <c r="C28" s="10">
        <v>0.1</v>
      </c>
      <c r="D28" s="23" t="s">
        <v>248</v>
      </c>
      <c r="F28" s="28">
        <v>25</v>
      </c>
      <c r="G28" s="3">
        <f t="shared" si="1"/>
        <v>4360465.1162790693</v>
      </c>
      <c r="H28" s="3">
        <f t="shared" si="0"/>
        <v>0</v>
      </c>
      <c r="I28" s="3">
        <f t="shared" si="2"/>
        <v>4837209.3023255812</v>
      </c>
      <c r="J28" s="3" t="e">
        <f t="shared" si="3"/>
        <v>#REF!</v>
      </c>
      <c r="K28" s="3"/>
      <c r="L28" s="3">
        <f>C2*C28</f>
        <v>150000000</v>
      </c>
      <c r="M28" s="3" t="e">
        <f t="shared" si="4"/>
        <v>#REF!</v>
      </c>
    </row>
    <row r="29" spans="2:13">
      <c r="B29" s="18" t="s">
        <v>250</v>
      </c>
      <c r="C29" s="10">
        <v>0.03</v>
      </c>
      <c r="D29" s="23" t="s">
        <v>104</v>
      </c>
      <c r="F29" s="29" t="s">
        <v>116</v>
      </c>
      <c r="G29" s="32">
        <f t="shared" ref="G29:M29" si="5">NPV($C$29,G4:G28)+G3</f>
        <v>75929423.072433174</v>
      </c>
      <c r="H29" s="32">
        <f t="shared" si="5"/>
        <v>0</v>
      </c>
      <c r="I29" s="32">
        <f t="shared" si="5"/>
        <v>84231039.995019197</v>
      </c>
      <c r="J29" s="32" t="e">
        <f t="shared" si="5"/>
        <v>#REF!</v>
      </c>
      <c r="K29" s="32">
        <f t="shared" si="5"/>
        <v>1325581395.3488371</v>
      </c>
      <c r="L29" s="32">
        <f t="shared" si="5"/>
        <v>145631067.96116504</v>
      </c>
      <c r="M29" s="32" t="e">
        <f t="shared" si="5"/>
        <v>#REF!</v>
      </c>
    </row>
    <row r="31" spans="2:13">
      <c r="B31" s="14" t="s">
        <v>133</v>
      </c>
      <c r="C31" s="15" t="e">
        <f>NPV(C29,M4:M28)+M3</f>
        <v>#REF!</v>
      </c>
    </row>
    <row r="32" spans="2:13">
      <c r="B32" s="14" t="s">
        <v>134</v>
      </c>
      <c r="C32" s="16" t="e">
        <f>IRR(M3:M28)</f>
        <v>#VALUE!</v>
      </c>
    </row>
    <row r="33" spans="2:4">
      <c r="B33" s="14" t="s">
        <v>135</v>
      </c>
      <c r="C33" s="17" t="e">
        <f>(H29+J29+L29)/(G29+I29+K29)</f>
        <v>#REF!</v>
      </c>
    </row>
    <row r="35" spans="2:4">
      <c r="B35" s="18" t="s">
        <v>136</v>
      </c>
      <c r="C35" s="10">
        <v>0</v>
      </c>
      <c r="D35" s="23" t="s">
        <v>104</v>
      </c>
    </row>
    <row r="36" spans="2:4">
      <c r="C36" s="1"/>
    </row>
    <row r="37" spans="2:4">
      <c r="B37" s="8"/>
      <c r="C37" s="1"/>
    </row>
  </sheetData>
  <pageMargins left="0.7" right="0.7" top="0.75" bottom="0.75" header="0.3" footer="0.3"/>
  <pageSetup orientation="portrait" horizontalDpi="4294967293" verticalDpi="4294967293"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D802D-7D3D-43B7-B1CF-AD938A1AE93E}">
  <sheetPr>
    <tabColor theme="3" tint="-0.499984740745262"/>
  </sheetPr>
  <dimension ref="B2:O75"/>
  <sheetViews>
    <sheetView zoomScale="85" zoomScaleNormal="85" workbookViewId="0">
      <selection activeCell="H32" sqref="H32"/>
    </sheetView>
  </sheetViews>
  <sheetFormatPr defaultColWidth="8.85546875" defaultRowHeight="14.45"/>
  <cols>
    <col min="1" max="1" width="3.5703125" style="1" customWidth="1"/>
    <col min="2" max="2" width="56.42578125" style="1" customWidth="1"/>
    <col min="3" max="3" width="20.5703125" style="12" customWidth="1"/>
    <col min="4" max="4" width="15.5703125" style="1" bestFit="1" customWidth="1"/>
    <col min="5" max="6" width="8.85546875" style="1"/>
    <col min="7" max="7" width="12.85546875" style="1" bestFit="1" customWidth="1"/>
    <col min="8" max="8" width="13.42578125" style="1" bestFit="1" customWidth="1"/>
    <col min="9" max="9" width="16.5703125" style="1" bestFit="1" customWidth="1"/>
    <col min="10" max="10" width="17" style="1" bestFit="1" customWidth="1"/>
    <col min="11" max="12" width="17.42578125" style="1" bestFit="1" customWidth="1"/>
    <col min="13" max="13" width="18.42578125" style="1" bestFit="1" customWidth="1"/>
    <col min="14" max="14" width="18.5703125" style="1" bestFit="1" customWidth="1"/>
    <col min="15" max="15" width="20" style="1" bestFit="1" customWidth="1"/>
    <col min="16" max="16384" width="8.85546875" style="1"/>
  </cols>
  <sheetData>
    <row r="2" spans="2:15">
      <c r="B2" s="18" t="s">
        <v>251</v>
      </c>
      <c r="C2" s="2">
        <v>1500000000</v>
      </c>
      <c r="D2" s="23" t="s">
        <v>86</v>
      </c>
      <c r="F2" s="27" t="s">
        <v>87</v>
      </c>
      <c r="G2" s="27" t="s">
        <v>88</v>
      </c>
      <c r="H2" s="27" t="s">
        <v>89</v>
      </c>
      <c r="I2" s="27" t="s">
        <v>90</v>
      </c>
      <c r="J2" s="27" t="s">
        <v>91</v>
      </c>
      <c r="K2" s="27" t="s">
        <v>148</v>
      </c>
      <c r="L2" s="27" t="s">
        <v>149</v>
      </c>
      <c r="M2" s="27" t="s">
        <v>92</v>
      </c>
      <c r="N2" s="27" t="s">
        <v>93</v>
      </c>
      <c r="O2" s="27" t="s">
        <v>94</v>
      </c>
    </row>
    <row r="3" spans="2:15">
      <c r="B3" s="18" t="s">
        <v>255</v>
      </c>
      <c r="C3" s="2">
        <v>18000</v>
      </c>
      <c r="D3" s="23" t="s">
        <v>86</v>
      </c>
      <c r="F3" s="28">
        <v>0</v>
      </c>
      <c r="G3" s="3"/>
      <c r="H3" s="3"/>
      <c r="I3" s="3"/>
      <c r="J3" s="3"/>
      <c r="K3" s="3"/>
      <c r="L3" s="3" t="e">
        <f>IF(C36=1,C59,0)</f>
        <v>#REF!</v>
      </c>
      <c r="M3" s="33">
        <f>(C2-C6*C7)/1.24</f>
        <v>1069017254.3135784</v>
      </c>
      <c r="N3" s="3"/>
      <c r="O3" s="3" t="e">
        <f>(H3+J3+L3+N3)-(G3+I3+K3+M3)</f>
        <v>#REF!</v>
      </c>
    </row>
    <row r="4" spans="2:15">
      <c r="B4" s="18" t="s">
        <v>256</v>
      </c>
      <c r="C4" s="2">
        <v>8000</v>
      </c>
      <c r="D4" s="23" t="s">
        <v>86</v>
      </c>
      <c r="F4" s="28">
        <v>1</v>
      </c>
      <c r="G4" s="3">
        <f>$C$27*$C$7/1.24</f>
        <v>3516504.1260315077</v>
      </c>
      <c r="H4" s="3">
        <f>$C$26</f>
        <v>0</v>
      </c>
      <c r="I4" s="3">
        <f>($C$15*$C$14*(1-$C$18))/$C$16*$C$22*$C$7</f>
        <v>4272868.2170542637</v>
      </c>
      <c r="J4" s="3" t="e">
        <f>($C$19*$C$22+$C$15*$C$24+$C$21*($C$22-$C$23))*$C$7</f>
        <v>#REF!</v>
      </c>
      <c r="K4" s="3">
        <f>(($C$15*$C$14*(1-$C$18))*$C$49/1000+$C$8*$C$10*8760*$C$51/1000)*$C$7</f>
        <v>7477674.4186046505</v>
      </c>
      <c r="L4" s="3" t="e">
        <f>($C$19*'Energy prices'!#REF!/1000+$C$15*'Energy prices'!#REF!/1000+$C$8*$C$10*8760*$C$50/1000)*$C$7+(J4-I4)*$C$69*$C$70</f>
        <v>#REF!</v>
      </c>
      <c r="M4" s="3"/>
      <c r="N4" s="3"/>
      <c r="O4" s="3" t="e">
        <f>(H4+J4+L4+N4)-(G4+I4+K4+M4)</f>
        <v>#REF!</v>
      </c>
    </row>
    <row r="5" spans="2:15">
      <c r="B5" s="18" t="s">
        <v>236</v>
      </c>
      <c r="C5" s="2">
        <f>C8*C9</f>
        <v>8400</v>
      </c>
      <c r="D5" s="23" t="s">
        <v>86</v>
      </c>
      <c r="F5" s="28">
        <v>2</v>
      </c>
      <c r="G5" s="3">
        <f t="shared" ref="G5:G28" si="0">$C$27*$C$7/1.24</f>
        <v>3516504.1260315077</v>
      </c>
      <c r="H5" s="3">
        <f t="shared" ref="H5:H28" si="1">$C$26</f>
        <v>0</v>
      </c>
      <c r="I5" s="3">
        <f t="shared" ref="I5:I28" si="2">($C$15*$C$14*(1-$C$18))/$C$16*$C$22*$C$7</f>
        <v>4272868.2170542637</v>
      </c>
      <c r="J5" s="3" t="e">
        <f t="shared" ref="J5:J28" si="3">($C$19*$C$22+$C$15*$C$24+$C$21*($C$22-$C$23))*$C$7</f>
        <v>#REF!</v>
      </c>
      <c r="K5" s="3">
        <f t="shared" ref="K5:K28" si="4">(($C$15*$C$14*(1-$C$18))*$C$49/1000+$C$8*$C$10*8760*$C$51/1000)*$C$7</f>
        <v>7477674.4186046505</v>
      </c>
      <c r="L5" s="3" t="e">
        <f>($C$19*'Energy prices'!#REF!/1000+$C$15*'Energy prices'!#REF!/1000+$C$8*$C$10*8760*$C$50/1000)*$C$7+(J5-I5)*$C$69*$C$70</f>
        <v>#REF!</v>
      </c>
      <c r="M5" s="3"/>
      <c r="N5" s="3"/>
      <c r="O5" s="3" t="e">
        <f t="shared" ref="O5:O28" si="5">(H5+J5+L5+N5)-(G5+I5+K5+M5)</f>
        <v>#REF!</v>
      </c>
    </row>
    <row r="6" spans="2:15">
      <c r="B6" s="18" t="s">
        <v>257</v>
      </c>
      <c r="C6" s="2">
        <v>4000</v>
      </c>
      <c r="D6" s="23" t="s">
        <v>86</v>
      </c>
      <c r="F6" s="28">
        <v>3</v>
      </c>
      <c r="G6" s="3">
        <f t="shared" si="0"/>
        <v>3516504.1260315077</v>
      </c>
      <c r="H6" s="3">
        <f t="shared" si="1"/>
        <v>0</v>
      </c>
      <c r="I6" s="3">
        <f t="shared" si="2"/>
        <v>4272868.2170542637</v>
      </c>
      <c r="J6" s="3" t="e">
        <f t="shared" si="3"/>
        <v>#REF!</v>
      </c>
      <c r="K6" s="3">
        <f t="shared" si="4"/>
        <v>7477674.4186046505</v>
      </c>
      <c r="L6" s="3" t="e">
        <f>($C$19*'Energy prices'!#REF!/1000+$C$15*'Energy prices'!#REF!/1000+$C$8*$C$10*8760*$C$50/1000)*$C$7+(J6-I6)*$C$69*$C$70</f>
        <v>#REF!</v>
      </c>
      <c r="M6" s="3"/>
      <c r="N6" s="3"/>
      <c r="O6" s="3" t="e">
        <f t="shared" si="5"/>
        <v>#REF!</v>
      </c>
    </row>
    <row r="7" spans="2:15">
      <c r="B7" s="18" t="s">
        <v>241</v>
      </c>
      <c r="C7" s="36">
        <f>C2/(C3+C4+C5)</f>
        <v>43604.651162790695</v>
      </c>
      <c r="D7" s="23" t="s">
        <v>152</v>
      </c>
      <c r="F7" s="28">
        <v>4</v>
      </c>
      <c r="G7" s="3">
        <f t="shared" si="0"/>
        <v>3516504.1260315077</v>
      </c>
      <c r="H7" s="3">
        <f t="shared" si="1"/>
        <v>0</v>
      </c>
      <c r="I7" s="3">
        <f t="shared" si="2"/>
        <v>4272868.2170542637</v>
      </c>
      <c r="J7" s="3" t="e">
        <f t="shared" si="3"/>
        <v>#REF!</v>
      </c>
      <c r="K7" s="3">
        <f t="shared" si="4"/>
        <v>7477674.4186046505</v>
      </c>
      <c r="L7" s="3" t="e">
        <f>($C$19*'Energy prices'!#REF!/1000+$C$15*'Energy prices'!#REF!/1000+$C$8*$C$10*8760*$C$50/1000)*$C$7+(J7-I7)*$C$69*$C$70</f>
        <v>#REF!</v>
      </c>
      <c r="M7" s="3"/>
      <c r="N7" s="3"/>
      <c r="O7" s="3" t="e">
        <f t="shared" si="5"/>
        <v>#REF!</v>
      </c>
    </row>
    <row r="8" spans="2:15">
      <c r="B8" s="18" t="s">
        <v>238</v>
      </c>
      <c r="C8" s="31">
        <v>4</v>
      </c>
      <c r="D8" s="23" t="s">
        <v>214</v>
      </c>
      <c r="F8" s="28">
        <v>5</v>
      </c>
      <c r="G8" s="3">
        <f t="shared" si="0"/>
        <v>3516504.1260315077</v>
      </c>
      <c r="H8" s="3">
        <f t="shared" si="1"/>
        <v>0</v>
      </c>
      <c r="I8" s="3">
        <f t="shared" si="2"/>
        <v>4272868.2170542637</v>
      </c>
      <c r="J8" s="3" t="e">
        <f t="shared" si="3"/>
        <v>#REF!</v>
      </c>
      <c r="K8" s="3">
        <f t="shared" si="4"/>
        <v>7477674.4186046505</v>
      </c>
      <c r="L8" s="3" t="e">
        <f>($C$19*'Energy prices'!#REF!/1000+$C$15*'Energy prices'!#REF!/1000+$C$8*$C$10*8760*$C$50/1000)*$C$7+(J8-I8)*$C$69*$C$70</f>
        <v>#REF!</v>
      </c>
      <c r="M8" s="3"/>
      <c r="N8" s="3"/>
      <c r="O8" s="3" t="e">
        <f t="shared" si="5"/>
        <v>#REF!</v>
      </c>
    </row>
    <row r="9" spans="2:15">
      <c r="B9" s="18" t="s">
        <v>240</v>
      </c>
      <c r="C9" s="31">
        <f>'Sc5-FA'!C9</f>
        <v>2100</v>
      </c>
      <c r="D9" s="23" t="s">
        <v>216</v>
      </c>
      <c r="F9" s="28">
        <v>6</v>
      </c>
      <c r="G9" s="3">
        <f t="shared" si="0"/>
        <v>3516504.1260315077</v>
      </c>
      <c r="H9" s="3">
        <f t="shared" si="1"/>
        <v>0</v>
      </c>
      <c r="I9" s="3">
        <f t="shared" si="2"/>
        <v>4272868.2170542637</v>
      </c>
      <c r="J9" s="3" t="e">
        <f t="shared" si="3"/>
        <v>#REF!</v>
      </c>
      <c r="K9" s="3">
        <f t="shared" si="4"/>
        <v>7477674.4186046505</v>
      </c>
      <c r="L9" s="3" t="e">
        <f>($C$19*'Energy prices'!#REF!/1000+$C$15*'Energy prices'!#REF!/1000+$C$8*$C$10*8760*$C$50/1000)*$C$7+(J9-I9)*$C$69*$C$70</f>
        <v>#REF!</v>
      </c>
      <c r="M9" s="3"/>
      <c r="N9" s="3"/>
      <c r="O9" s="3" t="e">
        <f t="shared" si="5"/>
        <v>#REF!</v>
      </c>
    </row>
    <row r="10" spans="2:15">
      <c r="B10" s="18" t="s">
        <v>254</v>
      </c>
      <c r="C10" s="35">
        <v>0.15</v>
      </c>
      <c r="D10" s="23" t="s">
        <v>104</v>
      </c>
      <c r="F10" s="28">
        <v>7</v>
      </c>
      <c r="G10" s="3">
        <f t="shared" si="0"/>
        <v>3516504.1260315077</v>
      </c>
      <c r="H10" s="3">
        <f t="shared" si="1"/>
        <v>0</v>
      </c>
      <c r="I10" s="3">
        <f t="shared" si="2"/>
        <v>4272868.2170542637</v>
      </c>
      <c r="J10" s="3" t="e">
        <f t="shared" si="3"/>
        <v>#REF!</v>
      </c>
      <c r="K10" s="3">
        <f t="shared" si="4"/>
        <v>7477674.4186046505</v>
      </c>
      <c r="L10" s="3" t="e">
        <f>($C$19*'Energy prices'!#REF!/1000+$C$15*'Energy prices'!#REF!/1000+$C$8*$C$10*8760*$C$50/1000)*$C$7+(J10-I10)*$C$69*$C$70</f>
        <v>#REF!</v>
      </c>
      <c r="M10" s="3"/>
      <c r="N10" s="3"/>
      <c r="O10" s="3" t="e">
        <f t="shared" si="5"/>
        <v>#REF!</v>
      </c>
    </row>
    <row r="11" spans="2:15">
      <c r="B11" s="18" t="s">
        <v>258</v>
      </c>
      <c r="C11" s="2">
        <v>580</v>
      </c>
      <c r="D11" s="23" t="s">
        <v>101</v>
      </c>
      <c r="F11" s="28">
        <v>8</v>
      </c>
      <c r="G11" s="3">
        <f t="shared" si="0"/>
        <v>3516504.1260315077</v>
      </c>
      <c r="H11" s="3">
        <f t="shared" si="1"/>
        <v>0</v>
      </c>
      <c r="I11" s="3">
        <f t="shared" si="2"/>
        <v>4272868.2170542637</v>
      </c>
      <c r="J11" s="3" t="e">
        <f t="shared" si="3"/>
        <v>#REF!</v>
      </c>
      <c r="K11" s="3">
        <f t="shared" si="4"/>
        <v>7477674.4186046505</v>
      </c>
      <c r="L11" s="3" t="e">
        <f>($C$19*'Energy prices'!#REF!/1000+$C$15*'Energy prices'!#REF!/1000+$C$8*$C$10*8760*$C$50/1000)*$C$7+(J11-I11)*$C$69*$C$70</f>
        <v>#REF!</v>
      </c>
      <c r="M11" s="3"/>
      <c r="N11" s="3"/>
      <c r="O11" s="3" t="e">
        <f t="shared" si="5"/>
        <v>#REF!</v>
      </c>
    </row>
    <row r="12" spans="2:15">
      <c r="B12" s="18" t="s">
        <v>259</v>
      </c>
      <c r="C12" s="2">
        <v>6500</v>
      </c>
      <c r="D12" s="23" t="s">
        <v>101</v>
      </c>
      <c r="F12" s="28">
        <v>9</v>
      </c>
      <c r="G12" s="3">
        <f t="shared" si="0"/>
        <v>3516504.1260315077</v>
      </c>
      <c r="H12" s="3">
        <f t="shared" si="1"/>
        <v>0</v>
      </c>
      <c r="I12" s="3">
        <f t="shared" si="2"/>
        <v>4272868.2170542637</v>
      </c>
      <c r="J12" s="3" t="e">
        <f t="shared" si="3"/>
        <v>#REF!</v>
      </c>
      <c r="K12" s="3">
        <f t="shared" si="4"/>
        <v>7477674.4186046505</v>
      </c>
      <c r="L12" s="3" t="e">
        <f>($C$19*'Energy prices'!#REF!/1000+$C$15*'Energy prices'!#REF!/1000+$C$8*$C$10*8760*$C$50/1000)*$C$7+(J12-I12)*$C$69*$C$70</f>
        <v>#REF!</v>
      </c>
      <c r="M12" s="3"/>
      <c r="N12" s="3"/>
      <c r="O12" s="3" t="e">
        <f t="shared" si="5"/>
        <v>#REF!</v>
      </c>
    </row>
    <row r="13" spans="2:15">
      <c r="B13" s="18" t="s">
        <v>260</v>
      </c>
      <c r="C13" s="10">
        <v>0.95</v>
      </c>
      <c r="D13" s="23" t="s">
        <v>104</v>
      </c>
      <c r="F13" s="28">
        <v>10</v>
      </c>
      <c r="G13" s="3">
        <f t="shared" si="0"/>
        <v>3516504.1260315077</v>
      </c>
      <c r="H13" s="3">
        <f t="shared" si="1"/>
        <v>0</v>
      </c>
      <c r="I13" s="3">
        <f t="shared" si="2"/>
        <v>4272868.2170542637</v>
      </c>
      <c r="J13" s="3" t="e">
        <f t="shared" si="3"/>
        <v>#REF!</v>
      </c>
      <c r="K13" s="3">
        <f t="shared" si="4"/>
        <v>7477674.4186046505</v>
      </c>
      <c r="L13" s="3" t="e">
        <f>($C$19*'Energy prices'!#REF!/1000+$C$15*'Energy prices'!#REF!/1000+$C$8*$C$10*8760*$C$50/1000)*$C$7+(J13-I13)*$C$69*$C$70</f>
        <v>#REF!</v>
      </c>
      <c r="M13" s="3"/>
      <c r="N13" s="3"/>
      <c r="O13" s="3" t="e">
        <f t="shared" si="5"/>
        <v>#REF!</v>
      </c>
    </row>
    <row r="14" spans="2:15">
      <c r="B14" s="18" t="s">
        <v>261</v>
      </c>
      <c r="C14" s="10">
        <v>0.8</v>
      </c>
      <c r="D14" s="23" t="s">
        <v>104</v>
      </c>
      <c r="F14" s="28">
        <v>11</v>
      </c>
      <c r="G14" s="3">
        <f t="shared" si="0"/>
        <v>3516504.1260315077</v>
      </c>
      <c r="H14" s="3">
        <f t="shared" si="1"/>
        <v>0</v>
      </c>
      <c r="I14" s="3">
        <f t="shared" si="2"/>
        <v>4272868.2170542637</v>
      </c>
      <c r="J14" s="3" t="e">
        <f t="shared" si="3"/>
        <v>#REF!</v>
      </c>
      <c r="K14" s="3">
        <f t="shared" si="4"/>
        <v>7477674.4186046505</v>
      </c>
      <c r="L14" s="3" t="e">
        <f>($C$19*'Energy prices'!#REF!/1000+$C$15*'Energy prices'!#REF!/1000+$C$8*$C$10*8760*$C$50/1000)*$C$7+(J14-I14)*$C$69*$C$70</f>
        <v>#REF!</v>
      </c>
      <c r="M14" s="3"/>
      <c r="N14" s="3"/>
      <c r="O14" s="3" t="e">
        <f t="shared" si="5"/>
        <v>#REF!</v>
      </c>
    </row>
    <row r="15" spans="2:15">
      <c r="B15" s="18" t="s">
        <v>262</v>
      </c>
      <c r="C15" s="2">
        <f>C12</f>
        <v>6500</v>
      </c>
      <c r="D15" s="23" t="s">
        <v>101</v>
      </c>
      <c r="F15" s="28">
        <v>12</v>
      </c>
      <c r="G15" s="3">
        <f t="shared" si="0"/>
        <v>3516504.1260315077</v>
      </c>
      <c r="H15" s="3">
        <f t="shared" si="1"/>
        <v>0</v>
      </c>
      <c r="I15" s="3">
        <f t="shared" si="2"/>
        <v>4272868.2170542637</v>
      </c>
      <c r="J15" s="3" t="e">
        <f t="shared" si="3"/>
        <v>#REF!</v>
      </c>
      <c r="K15" s="3">
        <f t="shared" si="4"/>
        <v>7477674.4186046505</v>
      </c>
      <c r="L15" s="3" t="e">
        <f>($C$19*'Energy prices'!#REF!/1000+$C$15*'Energy prices'!#REF!/1000+$C$8*$C$10*8760*$C$50/1000)*$C$7+(J15-I15)*$C$69*$C$70</f>
        <v>#REF!</v>
      </c>
      <c r="M15" s="3"/>
      <c r="N15" s="3"/>
      <c r="O15" s="3" t="e">
        <f t="shared" si="5"/>
        <v>#REF!</v>
      </c>
    </row>
    <row r="16" spans="2:15">
      <c r="B16" s="18" t="s">
        <v>263</v>
      </c>
      <c r="C16" s="7">
        <v>4.5</v>
      </c>
      <c r="D16" s="23"/>
      <c r="F16" s="28">
        <v>13</v>
      </c>
      <c r="G16" s="3">
        <f t="shared" si="0"/>
        <v>3516504.1260315077</v>
      </c>
      <c r="H16" s="3">
        <f t="shared" si="1"/>
        <v>0</v>
      </c>
      <c r="I16" s="3">
        <f t="shared" si="2"/>
        <v>4272868.2170542637</v>
      </c>
      <c r="J16" s="3" t="e">
        <f t="shared" si="3"/>
        <v>#REF!</v>
      </c>
      <c r="K16" s="3">
        <f t="shared" si="4"/>
        <v>7477674.4186046505</v>
      </c>
      <c r="L16" s="3" t="e">
        <f>($C$19*'Energy prices'!#REF!/1000+$C$15*'Energy prices'!#REF!/1000+$C$8*$C$10*8760*$C$50/1000)*$C$7+(J16-I16)*$C$69*$C$70</f>
        <v>#REF!</v>
      </c>
      <c r="M16" s="3"/>
      <c r="N16" s="3"/>
      <c r="O16" s="3" t="e">
        <f t="shared" si="5"/>
        <v>#REF!</v>
      </c>
    </row>
    <row r="17" spans="2:15">
      <c r="B17" s="18" t="s">
        <v>264</v>
      </c>
      <c r="C17" s="10">
        <v>0.6</v>
      </c>
      <c r="D17" s="23" t="s">
        <v>104</v>
      </c>
      <c r="F17" s="28">
        <v>14</v>
      </c>
      <c r="G17" s="3">
        <f t="shared" si="0"/>
        <v>3516504.1260315077</v>
      </c>
      <c r="H17" s="3">
        <f t="shared" si="1"/>
        <v>0</v>
      </c>
      <c r="I17" s="3">
        <f t="shared" si="2"/>
        <v>4272868.2170542637</v>
      </c>
      <c r="J17" s="3" t="e">
        <f t="shared" si="3"/>
        <v>#REF!</v>
      </c>
      <c r="K17" s="3">
        <f t="shared" si="4"/>
        <v>7477674.4186046505</v>
      </c>
      <c r="L17" s="3" t="e">
        <f>($C$19*'Energy prices'!#REF!/1000+$C$15*'Energy prices'!#REF!/1000+$C$8*$C$10*8760*$C$50/1000)*$C$7+(J17-I17)*$C$69*$C$70</f>
        <v>#REF!</v>
      </c>
      <c r="M17" s="3"/>
      <c r="N17" s="3"/>
      <c r="O17" s="3" t="e">
        <f t="shared" si="5"/>
        <v>#REF!</v>
      </c>
    </row>
    <row r="18" spans="2:15">
      <c r="B18" s="18" t="s">
        <v>265</v>
      </c>
      <c r="C18" s="10">
        <v>0.6</v>
      </c>
      <c r="D18" s="23" t="s">
        <v>104</v>
      </c>
      <c r="F18" s="28">
        <v>15</v>
      </c>
      <c r="G18" s="3">
        <f t="shared" si="0"/>
        <v>3516504.1260315077</v>
      </c>
      <c r="H18" s="3">
        <f t="shared" si="1"/>
        <v>0</v>
      </c>
      <c r="I18" s="3">
        <f t="shared" si="2"/>
        <v>4272868.2170542637</v>
      </c>
      <c r="J18" s="3" t="e">
        <f t="shared" si="3"/>
        <v>#REF!</v>
      </c>
      <c r="K18" s="3">
        <f t="shared" si="4"/>
        <v>7477674.4186046505</v>
      </c>
      <c r="L18" s="3" t="e">
        <f>($C$19*'Energy prices'!#REF!/1000+$C$15*'Energy prices'!#REF!/1000+$C$8*$C$10*8760*$C$50/1000)*$C$7+(J18-I18)*$C$69*$C$70</f>
        <v>#REF!</v>
      </c>
      <c r="M18" s="3"/>
      <c r="N18" s="3"/>
      <c r="O18" s="3" t="e">
        <f t="shared" si="5"/>
        <v>#REF!</v>
      </c>
    </row>
    <row r="19" spans="2:15">
      <c r="B19" s="18" t="s">
        <v>266</v>
      </c>
      <c r="C19" s="2">
        <f>C11*C17</f>
        <v>348</v>
      </c>
      <c r="D19" s="23" t="s">
        <v>101</v>
      </c>
      <c r="F19" s="28">
        <v>16</v>
      </c>
      <c r="G19" s="3">
        <f t="shared" si="0"/>
        <v>3516504.1260315077</v>
      </c>
      <c r="H19" s="3">
        <f t="shared" si="1"/>
        <v>0</v>
      </c>
      <c r="I19" s="3">
        <f t="shared" si="2"/>
        <v>4272868.2170542637</v>
      </c>
      <c r="J19" s="3" t="e">
        <f t="shared" si="3"/>
        <v>#REF!</v>
      </c>
      <c r="K19" s="3">
        <f t="shared" si="4"/>
        <v>7477674.4186046505</v>
      </c>
      <c r="L19" s="3" t="e">
        <f>($C$19*'Energy prices'!#REF!/1000+$C$15*'Energy prices'!#REF!/1000+$C$8*$C$10*8760*$C$50/1000)*$C$7+(J19-I19)*$C$69*$C$70</f>
        <v>#REF!</v>
      </c>
      <c r="M19" s="3"/>
      <c r="N19" s="3"/>
      <c r="O19" s="3" t="e">
        <f t="shared" si="5"/>
        <v>#REF!</v>
      </c>
    </row>
    <row r="20" spans="2:15">
      <c r="B20" s="18" t="s">
        <v>267</v>
      </c>
      <c r="C20" s="2">
        <f>C15*C18</f>
        <v>3900</v>
      </c>
      <c r="D20" s="23" t="s">
        <v>101</v>
      </c>
      <c r="F20" s="28">
        <v>17</v>
      </c>
      <c r="G20" s="3">
        <f t="shared" si="0"/>
        <v>3516504.1260315077</v>
      </c>
      <c r="H20" s="3">
        <f t="shared" si="1"/>
        <v>0</v>
      </c>
      <c r="I20" s="3">
        <f t="shared" si="2"/>
        <v>4272868.2170542637</v>
      </c>
      <c r="J20" s="3" t="e">
        <f t="shared" si="3"/>
        <v>#REF!</v>
      </c>
      <c r="K20" s="3">
        <f t="shared" si="4"/>
        <v>7477674.4186046505</v>
      </c>
      <c r="L20" s="3" t="e">
        <f>($C$19*'Energy prices'!#REF!/1000+$C$15*'Energy prices'!#REF!/1000+$C$8*$C$10*8760*$C$50/1000)*$C$7+(J20-I20)*$C$69*$C$70</f>
        <v>#REF!</v>
      </c>
      <c r="M20" s="3"/>
      <c r="N20" s="3"/>
      <c r="O20" s="3" t="e">
        <f t="shared" si="5"/>
        <v>#REF!</v>
      </c>
    </row>
    <row r="21" spans="2:15">
      <c r="B21" s="18" t="s">
        <v>270</v>
      </c>
      <c r="C21" s="31">
        <f>4000+C11*(1-C17)+(C15-C20)/C16</f>
        <v>4809.7777777777774</v>
      </c>
      <c r="D21" s="23" t="s">
        <v>101</v>
      </c>
      <c r="F21" s="28">
        <v>18</v>
      </c>
      <c r="G21" s="3">
        <f t="shared" si="0"/>
        <v>3516504.1260315077</v>
      </c>
      <c r="H21" s="3">
        <f t="shared" si="1"/>
        <v>0</v>
      </c>
      <c r="I21" s="3">
        <f t="shared" si="2"/>
        <v>4272868.2170542637</v>
      </c>
      <c r="J21" s="3" t="e">
        <f t="shared" si="3"/>
        <v>#REF!</v>
      </c>
      <c r="K21" s="3">
        <f t="shared" si="4"/>
        <v>7477674.4186046505</v>
      </c>
      <c r="L21" s="3" t="e">
        <f>($C$19*'Energy prices'!#REF!/1000+$C$15*'Energy prices'!#REF!/1000+$C$8*$C$10*8760*$C$50/1000)*$C$7+(J21-I21)*$C$69*$C$70</f>
        <v>#REF!</v>
      </c>
      <c r="M21" s="3"/>
      <c r="N21" s="3"/>
      <c r="O21" s="3" t="e">
        <f t="shared" si="5"/>
        <v>#REF!</v>
      </c>
    </row>
    <row r="22" spans="2:15">
      <c r="B22" s="18" t="s">
        <v>244</v>
      </c>
      <c r="C22" s="13">
        <f>'Energy prices'!$D$6/1000</f>
        <v>0.21199999999999999</v>
      </c>
      <c r="D22" s="23" t="s">
        <v>114</v>
      </c>
      <c r="F22" s="28">
        <v>19</v>
      </c>
      <c r="G22" s="3">
        <f t="shared" si="0"/>
        <v>3516504.1260315077</v>
      </c>
      <c r="H22" s="3">
        <f t="shared" si="1"/>
        <v>0</v>
      </c>
      <c r="I22" s="3">
        <f t="shared" si="2"/>
        <v>4272868.2170542637</v>
      </c>
      <c r="J22" s="3" t="e">
        <f t="shared" si="3"/>
        <v>#REF!</v>
      </c>
      <c r="K22" s="3">
        <f t="shared" si="4"/>
        <v>7477674.4186046505</v>
      </c>
      <c r="L22" s="3" t="e">
        <f>($C$19*'Energy prices'!#REF!/1000+$C$15*'Energy prices'!#REF!/1000+$C$8*$C$10*8760*$C$50/1000)*$C$7+(J22-I22)*$C$69*$C$70</f>
        <v>#REF!</v>
      </c>
      <c r="M22" s="3"/>
      <c r="N22" s="3"/>
      <c r="O22" s="3" t="e">
        <f t="shared" si="5"/>
        <v>#REF!</v>
      </c>
    </row>
    <row r="23" spans="2:15">
      <c r="B23" s="18" t="s">
        <v>245</v>
      </c>
      <c r="C23" s="13" t="e">
        <f>'Sc5-FA'!C23*'Ele prices'!#REF!</f>
        <v>#REF!</v>
      </c>
      <c r="D23" s="23" t="s">
        <v>114</v>
      </c>
      <c r="F23" s="28">
        <v>20</v>
      </c>
      <c r="G23" s="3">
        <f t="shared" si="0"/>
        <v>3516504.1260315077</v>
      </c>
      <c r="H23" s="3">
        <f t="shared" si="1"/>
        <v>0</v>
      </c>
      <c r="I23" s="3">
        <f t="shared" si="2"/>
        <v>4272868.2170542637</v>
      </c>
      <c r="J23" s="3" t="e">
        <f t="shared" si="3"/>
        <v>#REF!</v>
      </c>
      <c r="K23" s="3">
        <f t="shared" si="4"/>
        <v>7477674.4186046505</v>
      </c>
      <c r="L23" s="3" t="e">
        <f>($C$19*'Energy prices'!#REF!/1000+$C$15*'Energy prices'!#REF!/1000+$C$8*$C$10*8760*$C$50/1000)*$C$7+(J23-I23)*$C$69*$C$70</f>
        <v>#REF!</v>
      </c>
      <c r="M23" s="3"/>
      <c r="N23" s="3"/>
      <c r="O23" s="3" t="e">
        <f t="shared" si="5"/>
        <v>#REF!</v>
      </c>
    </row>
    <row r="24" spans="2:15">
      <c r="B24" s="18" t="s">
        <v>268</v>
      </c>
      <c r="C24" s="13" t="e">
        <f>'Energy prices'!#REF!</f>
        <v>#REF!</v>
      </c>
      <c r="D24" s="23" t="s">
        <v>114</v>
      </c>
      <c r="F24" s="28">
        <v>21</v>
      </c>
      <c r="G24" s="3">
        <f t="shared" si="0"/>
        <v>3516504.1260315077</v>
      </c>
      <c r="H24" s="3">
        <f t="shared" si="1"/>
        <v>0</v>
      </c>
      <c r="I24" s="3">
        <f t="shared" si="2"/>
        <v>4272868.2170542637</v>
      </c>
      <c r="J24" s="3" t="e">
        <f t="shared" si="3"/>
        <v>#REF!</v>
      </c>
      <c r="K24" s="3">
        <f t="shared" si="4"/>
        <v>7477674.4186046505</v>
      </c>
      <c r="L24" s="3" t="e">
        <f>($C$19*'Energy prices'!#REF!/1000+$C$15*'Energy prices'!#REF!/1000+$C$8*$C$10*8760*$C$50/1000)*$C$7+(J24-I24)*$C$69*$C$70</f>
        <v>#REF!</v>
      </c>
      <c r="M24" s="3"/>
      <c r="N24" s="3"/>
      <c r="O24" s="3" t="e">
        <f t="shared" si="5"/>
        <v>#REF!</v>
      </c>
    </row>
    <row r="25" spans="2:15">
      <c r="B25" s="18" t="s">
        <v>269</v>
      </c>
      <c r="C25" s="13">
        <f>'Energy prices'!$D$8/1000</f>
        <v>9.4E-2</v>
      </c>
      <c r="D25" s="23" t="s">
        <v>114</v>
      </c>
      <c r="F25" s="28">
        <v>22</v>
      </c>
      <c r="G25" s="3">
        <f t="shared" si="0"/>
        <v>3516504.1260315077</v>
      </c>
      <c r="H25" s="3">
        <f t="shared" si="1"/>
        <v>0</v>
      </c>
      <c r="I25" s="3">
        <f t="shared" si="2"/>
        <v>4272868.2170542637</v>
      </c>
      <c r="J25" s="3" t="e">
        <f t="shared" si="3"/>
        <v>#REF!</v>
      </c>
      <c r="K25" s="3">
        <f t="shared" si="4"/>
        <v>7477674.4186046505</v>
      </c>
      <c r="L25" s="3" t="e">
        <f>($C$19*'Energy prices'!#REF!/1000+$C$15*'Energy prices'!#REF!/1000+$C$8*$C$10*8760*$C$50/1000)*$C$7+(J25-I25)*$C$69*$C$70</f>
        <v>#REF!</v>
      </c>
      <c r="M25" s="3"/>
      <c r="N25" s="3"/>
      <c r="O25" s="3" t="e">
        <f t="shared" si="5"/>
        <v>#REF!</v>
      </c>
    </row>
    <row r="26" spans="2:15">
      <c r="B26" s="18" t="s">
        <v>246</v>
      </c>
      <c r="C26" s="2">
        <v>0</v>
      </c>
      <c r="D26" s="23" t="s">
        <v>86</v>
      </c>
      <c r="F26" s="28">
        <v>23</v>
      </c>
      <c r="G26" s="3">
        <f t="shared" si="0"/>
        <v>3516504.1260315077</v>
      </c>
      <c r="H26" s="3">
        <f t="shared" si="1"/>
        <v>0</v>
      </c>
      <c r="I26" s="3">
        <f t="shared" si="2"/>
        <v>4272868.2170542637</v>
      </c>
      <c r="J26" s="3" t="e">
        <f t="shared" si="3"/>
        <v>#REF!</v>
      </c>
      <c r="K26" s="3">
        <f t="shared" si="4"/>
        <v>7477674.4186046505</v>
      </c>
      <c r="L26" s="3" t="e">
        <f>($C$19*'Energy prices'!#REF!/1000+$C$15*'Energy prices'!#REF!/1000+$C$8*$C$10*8760*$C$50/1000)*$C$7+(J26-I26)*$C$69*$C$70</f>
        <v>#REF!</v>
      </c>
      <c r="M26" s="3"/>
      <c r="N26" s="3"/>
      <c r="O26" s="3" t="e">
        <f t="shared" si="5"/>
        <v>#REF!</v>
      </c>
    </row>
    <row r="27" spans="2:15">
      <c r="B27" s="18" t="s">
        <v>247</v>
      </c>
      <c r="C27" s="2">
        <v>100</v>
      </c>
      <c r="D27" s="23" t="s">
        <v>86</v>
      </c>
      <c r="F27" s="28">
        <v>24</v>
      </c>
      <c r="G27" s="3">
        <f t="shared" si="0"/>
        <v>3516504.1260315077</v>
      </c>
      <c r="H27" s="3">
        <f t="shared" si="1"/>
        <v>0</v>
      </c>
      <c r="I27" s="3">
        <f t="shared" si="2"/>
        <v>4272868.2170542637</v>
      </c>
      <c r="J27" s="3" t="e">
        <f t="shared" si="3"/>
        <v>#REF!</v>
      </c>
      <c r="K27" s="3">
        <f t="shared" si="4"/>
        <v>7477674.4186046505</v>
      </c>
      <c r="L27" s="3" t="e">
        <f>($C$19*'Energy prices'!#REF!/1000+$C$15*'Energy prices'!#REF!/1000+$C$8*$C$10*8760*$C$50/1000)*$C$7+(J27-I27)*$C$69*$C$70</f>
        <v>#REF!</v>
      </c>
      <c r="M27" s="3"/>
      <c r="N27" s="3"/>
      <c r="O27" s="3" t="e">
        <f t="shared" si="5"/>
        <v>#REF!</v>
      </c>
    </row>
    <row r="28" spans="2:15">
      <c r="B28" s="18" t="s">
        <v>249</v>
      </c>
      <c r="C28" s="10">
        <v>0.1</v>
      </c>
      <c r="D28" s="23" t="s">
        <v>153</v>
      </c>
      <c r="F28" s="28">
        <v>25</v>
      </c>
      <c r="G28" s="3">
        <f t="shared" si="0"/>
        <v>3516504.1260315077</v>
      </c>
      <c r="H28" s="3">
        <f t="shared" si="1"/>
        <v>0</v>
      </c>
      <c r="I28" s="3">
        <f t="shared" si="2"/>
        <v>4272868.2170542637</v>
      </c>
      <c r="J28" s="3" t="e">
        <f t="shared" si="3"/>
        <v>#REF!</v>
      </c>
      <c r="K28" s="3">
        <f t="shared" si="4"/>
        <v>7477674.4186046505</v>
      </c>
      <c r="L28" s="3" t="e">
        <f>($C$19*'Energy prices'!#REF!/1000+$C$15*'Energy prices'!#REF!/1000+$C$8*$C$10*8760*$C$50/1000)*$C$7+(J28-I28)*$C$69*$C$70</f>
        <v>#REF!</v>
      </c>
      <c r="M28" s="3"/>
      <c r="N28" s="3">
        <f>C2*C28</f>
        <v>150000000</v>
      </c>
      <c r="O28" s="3" t="e">
        <f t="shared" si="5"/>
        <v>#REF!</v>
      </c>
    </row>
    <row r="29" spans="2:15">
      <c r="B29" s="18" t="s">
        <v>250</v>
      </c>
      <c r="C29" s="10">
        <v>0.03</v>
      </c>
      <c r="D29" s="23" t="s">
        <v>104</v>
      </c>
      <c r="F29" s="29" t="s">
        <v>116</v>
      </c>
      <c r="G29" s="32">
        <f t="shared" ref="G29:O29" si="6">NPV($C$29,G4:G28)+G3</f>
        <v>61233405.703575157</v>
      </c>
      <c r="H29" s="32">
        <f t="shared" si="6"/>
        <v>0</v>
      </c>
      <c r="I29" s="32">
        <f t="shared" si="6"/>
        <v>74404085.328933656</v>
      </c>
      <c r="J29" s="32" t="e">
        <f t="shared" si="6"/>
        <v>#REF!</v>
      </c>
      <c r="K29" s="32">
        <f t="shared" si="6"/>
        <v>130209849.0384542</v>
      </c>
      <c r="L29" s="32" t="e">
        <f t="shared" si="6"/>
        <v>#REF!</v>
      </c>
      <c r="M29" s="32">
        <f t="shared" si="6"/>
        <v>1069017254.3135784</v>
      </c>
      <c r="N29" s="32">
        <f t="shared" si="6"/>
        <v>145631067.96116504</v>
      </c>
      <c r="O29" s="32" t="e">
        <f t="shared" si="6"/>
        <v>#REF!</v>
      </c>
    </row>
    <row r="32" spans="2:15">
      <c r="B32" s="14" t="s">
        <v>133</v>
      </c>
      <c r="C32" s="15" t="e">
        <f>NPV(C29,O4:O28)+O3</f>
        <v>#REF!</v>
      </c>
    </row>
    <row r="33" spans="2:4">
      <c r="B33" s="14" t="s">
        <v>134</v>
      </c>
      <c r="C33" s="16" t="e">
        <f>IRR(O3:O28)</f>
        <v>#VALUE!</v>
      </c>
    </row>
    <row r="34" spans="2:4">
      <c r="B34" s="14" t="s">
        <v>135</v>
      </c>
      <c r="C34" s="17" t="e">
        <f>(H29+L29+J29+N29)/(G29+I29+K29+M29)</f>
        <v>#REF!</v>
      </c>
    </row>
    <row r="36" spans="2:4">
      <c r="B36" s="18" t="s">
        <v>156</v>
      </c>
      <c r="C36" s="2">
        <v>1</v>
      </c>
      <c r="D36" s="23" t="s">
        <v>157</v>
      </c>
    </row>
    <row r="37" spans="2:4">
      <c r="B37" s="18" t="s">
        <v>158</v>
      </c>
      <c r="C37" s="30">
        <v>2</v>
      </c>
      <c r="D37" s="23" t="s">
        <v>159</v>
      </c>
    </row>
    <row r="38" spans="2:4">
      <c r="B38" s="18" t="s">
        <v>160</v>
      </c>
      <c r="C38" s="2">
        <v>0</v>
      </c>
      <c r="D38" s="24" t="s">
        <v>161</v>
      </c>
    </row>
    <row r="41" spans="2:4">
      <c r="B41" s="22" t="s">
        <v>162</v>
      </c>
    </row>
    <row r="42" spans="2:4">
      <c r="B42" s="220" t="s">
        <v>163</v>
      </c>
      <c r="C42" s="4" t="s">
        <v>164</v>
      </c>
    </row>
    <row r="43" spans="2:4">
      <c r="B43" s="220"/>
      <c r="C43" s="4" t="s">
        <v>165</v>
      </c>
    </row>
    <row r="44" spans="2:4">
      <c r="B44" s="9" t="s">
        <v>166</v>
      </c>
      <c r="C44" s="6">
        <f>externalities!D25</f>
        <v>51</v>
      </c>
    </row>
    <row r="45" spans="2:4">
      <c r="B45" s="9" t="s">
        <v>167</v>
      </c>
      <c r="C45" s="6">
        <f>externalities!D27</f>
        <v>43.4</v>
      </c>
    </row>
    <row r="46" spans="2:4">
      <c r="B46" s="9" t="s">
        <v>168</v>
      </c>
      <c r="C46" s="6">
        <f>externalities!D22</f>
        <v>36</v>
      </c>
    </row>
    <row r="47" spans="2:4">
      <c r="B47" s="9" t="s">
        <v>169</v>
      </c>
      <c r="C47" s="6">
        <f>externalities!D24</f>
        <v>32.200000000000003</v>
      </c>
    </row>
    <row r="48" spans="2:4">
      <c r="B48" s="9" t="s">
        <v>170</v>
      </c>
      <c r="C48" s="6">
        <f>externalities!D17</f>
        <v>36</v>
      </c>
    </row>
    <row r="49" spans="2:4">
      <c r="B49" s="9" t="s">
        <v>171</v>
      </c>
      <c r="C49" s="6">
        <f>externalities!D16</f>
        <v>21.8</v>
      </c>
    </row>
    <row r="50" spans="2:4">
      <c r="B50" s="9" t="s">
        <v>172</v>
      </c>
      <c r="C50" s="6">
        <f>externalities!D19</f>
        <v>48.5</v>
      </c>
    </row>
    <row r="51" spans="2:4">
      <c r="B51" s="9" t="s">
        <v>173</v>
      </c>
      <c r="C51" s="6">
        <f>externalities!D35</f>
        <v>24</v>
      </c>
    </row>
    <row r="52" spans="2:4">
      <c r="B52" s="9" t="s">
        <v>174</v>
      </c>
      <c r="C52" s="6">
        <f>externalities!D31</f>
        <v>9.6</v>
      </c>
    </row>
    <row r="54" spans="2:4">
      <c r="B54" s="22" t="s">
        <v>177</v>
      </c>
    </row>
    <row r="55" spans="2:4">
      <c r="B55" s="4" t="s">
        <v>178</v>
      </c>
      <c r="C55" s="5">
        <v>0.03</v>
      </c>
      <c r="D55" s="19"/>
    </row>
    <row r="56" spans="2:4">
      <c r="B56" s="4" t="s">
        <v>179</v>
      </c>
      <c r="C56" s="2" t="e">
        <f>C57+C58</f>
        <v>#REF!</v>
      </c>
      <c r="D56" s="19" t="s">
        <v>86</v>
      </c>
    </row>
    <row r="57" spans="2:4">
      <c r="B57" s="20" t="s">
        <v>180</v>
      </c>
      <c r="C57" s="2" t="e">
        <f>J4-I4</f>
        <v>#REF!</v>
      </c>
      <c r="D57" s="19" t="s">
        <v>86</v>
      </c>
    </row>
    <row r="58" spans="2:4">
      <c r="B58" s="20" t="s">
        <v>181</v>
      </c>
      <c r="C58" s="2">
        <f>H4-G4</f>
        <v>-3516504.1260315077</v>
      </c>
      <c r="D58" s="19" t="s">
        <v>86</v>
      </c>
    </row>
    <row r="59" spans="2:4">
      <c r="B59" s="18" t="s">
        <v>182</v>
      </c>
      <c r="C59" s="2" t="e">
        <f>IF(externalities!$C$12=1,C56/C55,0)</f>
        <v>#REF!</v>
      </c>
      <c r="D59" s="19" t="s">
        <v>86</v>
      </c>
    </row>
    <row r="61" spans="2:4">
      <c r="B61" s="22" t="s">
        <v>183</v>
      </c>
    </row>
    <row r="62" spans="2:4">
      <c r="B62" s="25" t="s">
        <v>183</v>
      </c>
      <c r="C62" s="4" t="s">
        <v>164</v>
      </c>
      <c r="D62" s="21"/>
    </row>
    <row r="63" spans="2:4">
      <c r="B63" s="9" t="s">
        <v>184</v>
      </c>
      <c r="C63" s="26">
        <v>5</v>
      </c>
    </row>
    <row r="64" spans="2:4">
      <c r="B64" s="9" t="s">
        <v>185</v>
      </c>
      <c r="C64" s="26">
        <v>4</v>
      </c>
    </row>
    <row r="65" spans="2:4">
      <c r="B65" s="9" t="s">
        <v>186</v>
      </c>
      <c r="C65" s="26">
        <v>3</v>
      </c>
    </row>
    <row r="66" spans="2:4">
      <c r="B66" s="9" t="s">
        <v>187</v>
      </c>
      <c r="C66" s="26">
        <v>2</v>
      </c>
    </row>
    <row r="67" spans="2:4">
      <c r="B67" s="9" t="s">
        <v>188</v>
      </c>
      <c r="C67" s="26">
        <v>1</v>
      </c>
    </row>
    <row r="69" spans="2:4">
      <c r="B69" s="26" t="s">
        <v>189</v>
      </c>
      <c r="C69" s="7">
        <f>(IF(C38=1,0.2,IF(C38=2,0.4,IF(C38=3,0.6,IF(C38=4,0.8,IF(C38=5,1,0))))))</f>
        <v>0</v>
      </c>
      <c r="D69" s="11" t="s">
        <v>190</v>
      </c>
    </row>
    <row r="70" spans="2:4">
      <c r="B70" s="26" t="s">
        <v>189</v>
      </c>
      <c r="C70" s="10">
        <v>0.1</v>
      </c>
      <c r="D70" s="11" t="s">
        <v>191</v>
      </c>
    </row>
    <row r="73" spans="2:4">
      <c r="C73" s="1"/>
    </row>
    <row r="74" spans="2:4">
      <c r="C74" s="1"/>
    </row>
    <row r="75" spans="2:4">
      <c r="B75" s="8"/>
      <c r="C75" s="1"/>
    </row>
  </sheetData>
  <mergeCells count="1">
    <mergeCell ref="B42:B43"/>
  </mergeCells>
  <pageMargins left="0.7" right="0.7" top="0.75" bottom="0.75" header="0.3" footer="0.3"/>
  <pageSetup orientation="portrait" horizontalDpi="4294967293"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6D0F4-8310-4C8D-80BD-E0BB72A26E5C}">
  <sheetPr>
    <tabColor theme="0" tint="-0.499984740745262"/>
  </sheetPr>
  <dimension ref="A1:L14"/>
  <sheetViews>
    <sheetView zoomScaleNormal="100" workbookViewId="0">
      <selection activeCell="D30" sqref="D30"/>
    </sheetView>
  </sheetViews>
  <sheetFormatPr defaultColWidth="8.85546875" defaultRowHeight="14.1"/>
  <cols>
    <col min="1" max="1" width="25.85546875" style="66" customWidth="1"/>
    <col min="2" max="7" width="8.85546875" style="66"/>
    <col min="8" max="8" width="11.140625" style="66" customWidth="1"/>
    <col min="9" max="16384" width="8.85546875" style="66"/>
  </cols>
  <sheetData>
    <row r="1" spans="1:12">
      <c r="A1" s="76" t="s">
        <v>271</v>
      </c>
      <c r="B1" s="75"/>
      <c r="C1" s="75"/>
      <c r="D1" s="75"/>
      <c r="E1" s="75"/>
      <c r="F1" s="75"/>
      <c r="G1" s="75"/>
    </row>
    <row r="3" spans="1:12" ht="14.45">
      <c r="A3" s="60"/>
      <c r="B3" s="214"/>
      <c r="C3" s="226"/>
      <c r="D3" s="226"/>
      <c r="E3" s="61"/>
      <c r="F3" s="62"/>
      <c r="G3" s="60"/>
      <c r="H3" s="63"/>
      <c r="I3" s="63"/>
      <c r="J3" s="61"/>
      <c r="K3" s="64"/>
      <c r="L3" s="64"/>
    </row>
    <row r="5" spans="1:12">
      <c r="A5" s="65" t="s">
        <v>272</v>
      </c>
      <c r="B5" s="65" t="s">
        <v>273</v>
      </c>
    </row>
    <row r="6" spans="1:12">
      <c r="A6" s="65" t="s">
        <v>274</v>
      </c>
      <c r="B6" s="65" t="s">
        <v>275</v>
      </c>
    </row>
    <row r="7" spans="1:12">
      <c r="A7" s="65" t="s">
        <v>276</v>
      </c>
      <c r="B7" s="65" t="s">
        <v>277</v>
      </c>
    </row>
    <row r="8" spans="1:12">
      <c r="A8" s="65" t="s">
        <v>278</v>
      </c>
      <c r="B8" s="65"/>
    </row>
    <row r="9" spans="1:12">
      <c r="A9" s="65" t="s">
        <v>279</v>
      </c>
      <c r="B9" s="65" t="s">
        <v>280</v>
      </c>
    </row>
    <row r="11" spans="1:12">
      <c r="A11" s="69" t="s">
        <v>281</v>
      </c>
      <c r="B11" s="69" t="s">
        <v>282</v>
      </c>
      <c r="C11" s="69" t="s">
        <v>283</v>
      </c>
      <c r="D11" s="69" t="s">
        <v>284</v>
      </c>
      <c r="E11" s="69" t="s">
        <v>285</v>
      </c>
      <c r="F11" s="74" t="s">
        <v>286</v>
      </c>
    </row>
    <row r="12" spans="1:12">
      <c r="A12" s="69" t="s">
        <v>287</v>
      </c>
      <c r="B12" s="71">
        <v>0.25790000000000002</v>
      </c>
      <c r="C12" s="71">
        <v>0.29659999999999997</v>
      </c>
      <c r="D12" s="71">
        <v>0.2165</v>
      </c>
      <c r="E12" s="71">
        <v>0.20680000000000001</v>
      </c>
      <c r="F12" s="71">
        <f>AVERAGE(D12:E12)</f>
        <v>0.21165</v>
      </c>
    </row>
    <row r="13" spans="1:12">
      <c r="A13" s="69" t="s">
        <v>288</v>
      </c>
      <c r="B13" s="71">
        <v>0.28220000000000001</v>
      </c>
      <c r="C13" s="71">
        <v>0.31890000000000002</v>
      </c>
      <c r="D13" s="71">
        <v>0.23280000000000001</v>
      </c>
      <c r="E13" s="71">
        <v>0.2228</v>
      </c>
      <c r="F13" s="71">
        <f t="shared" ref="F13:F14" si="0">AVERAGE(D13:E13)</f>
        <v>0.2278</v>
      </c>
    </row>
    <row r="14" spans="1:12">
      <c r="A14" s="69" t="s">
        <v>289</v>
      </c>
      <c r="B14" s="71">
        <v>0.30709999999999998</v>
      </c>
      <c r="C14" s="71">
        <v>0.33500000000000002</v>
      </c>
      <c r="D14" s="71">
        <v>0.24540000000000001</v>
      </c>
      <c r="E14" s="71">
        <v>0.23469999999999999</v>
      </c>
      <c r="F14" s="71">
        <f t="shared" si="0"/>
        <v>0.24004999999999999</v>
      </c>
    </row>
  </sheetData>
  <mergeCells count="1">
    <mergeCell ref="B3:D3"/>
  </mergeCells>
  <phoneticPr fontId="15" type="noConversion"/>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C4E35-B2EE-447A-A561-58CB9F9FB69E}">
  <sheetPr>
    <tabColor theme="0" tint="-0.499984740745262"/>
  </sheetPr>
  <dimension ref="A1:L15"/>
  <sheetViews>
    <sheetView zoomScale="85" zoomScaleNormal="85" workbookViewId="0">
      <selection activeCell="D30" sqref="D30"/>
    </sheetView>
  </sheetViews>
  <sheetFormatPr defaultColWidth="8.85546875" defaultRowHeight="14.1"/>
  <cols>
    <col min="1" max="1" width="25.5703125" style="66" customWidth="1"/>
    <col min="2" max="7" width="8.85546875" style="66"/>
    <col min="8" max="8" width="11.42578125" style="66" customWidth="1"/>
    <col min="9" max="16384" width="8.85546875" style="66"/>
  </cols>
  <sheetData>
    <row r="1" spans="1:12">
      <c r="A1" s="76" t="s">
        <v>290</v>
      </c>
      <c r="B1" s="75"/>
      <c r="C1" s="75"/>
      <c r="D1" s="75"/>
      <c r="E1" s="75"/>
      <c r="F1" s="75"/>
      <c r="G1" s="75"/>
    </row>
    <row r="3" spans="1:12">
      <c r="A3" s="65" t="s">
        <v>291</v>
      </c>
    </row>
    <row r="4" spans="1:12" ht="14.45">
      <c r="A4" s="60"/>
      <c r="B4" s="214"/>
      <c r="C4" s="226"/>
      <c r="D4" s="226"/>
      <c r="E4" s="61"/>
      <c r="F4" s="62"/>
      <c r="G4" s="60"/>
      <c r="H4" s="63"/>
      <c r="I4" s="63"/>
      <c r="J4" s="61"/>
      <c r="K4" s="64"/>
      <c r="L4" s="64"/>
    </row>
    <row r="6" spans="1:12">
      <c r="A6" s="65" t="s">
        <v>272</v>
      </c>
      <c r="B6" s="65" t="s">
        <v>76</v>
      </c>
    </row>
    <row r="7" spans="1:12">
      <c r="A7" s="65" t="s">
        <v>278</v>
      </c>
      <c r="B7" s="65"/>
    </row>
    <row r="8" spans="1:12">
      <c r="A8" s="65" t="s">
        <v>276</v>
      </c>
      <c r="B8" s="65" t="s">
        <v>277</v>
      </c>
    </row>
    <row r="9" spans="1:12">
      <c r="A9" s="65" t="s">
        <v>274</v>
      </c>
      <c r="B9" s="65" t="s">
        <v>292</v>
      </c>
    </row>
    <row r="10" spans="1:12">
      <c r="A10" s="65" t="s">
        <v>279</v>
      </c>
      <c r="B10" s="65" t="s">
        <v>280</v>
      </c>
    </row>
    <row r="12" spans="1:12">
      <c r="A12" s="69" t="s">
        <v>281</v>
      </c>
      <c r="B12" s="69" t="s">
        <v>282</v>
      </c>
      <c r="C12" s="69" t="s">
        <v>283</v>
      </c>
      <c r="D12" s="69" t="s">
        <v>284</v>
      </c>
      <c r="E12" s="70" t="s">
        <v>285</v>
      </c>
      <c r="F12" s="69" t="s">
        <v>286</v>
      </c>
    </row>
    <row r="13" spans="1:12">
      <c r="A13" s="69" t="s">
        <v>287</v>
      </c>
      <c r="B13" s="71">
        <v>6.0699999999999997E-2</v>
      </c>
      <c r="C13" s="71">
        <v>0.1258</v>
      </c>
      <c r="D13" s="71">
        <v>9.8299999999999998E-2</v>
      </c>
      <c r="E13" s="72">
        <v>9.1899999999999996E-2</v>
      </c>
      <c r="F13" s="73">
        <f>AVERAGE(B13:E13)</f>
        <v>9.4174999999999995E-2</v>
      </c>
    </row>
    <row r="14" spans="1:12">
      <c r="A14" s="69" t="s">
        <v>288</v>
      </c>
      <c r="B14" s="71">
        <v>7.4200000000000002E-2</v>
      </c>
      <c r="C14" s="71">
        <v>0.13930000000000001</v>
      </c>
      <c r="D14" s="71">
        <v>0.1026</v>
      </c>
      <c r="E14" s="72">
        <v>9.6199999999999994E-2</v>
      </c>
      <c r="F14" s="73">
        <f t="shared" ref="F14:F15" si="0">AVERAGE(B14:E14)</f>
        <v>0.10307500000000001</v>
      </c>
    </row>
    <row r="15" spans="1:12">
      <c r="A15" s="69" t="s">
        <v>289</v>
      </c>
      <c r="B15" s="71">
        <v>8.9700000000000002E-2</v>
      </c>
      <c r="C15" s="71">
        <v>0.15740000000000001</v>
      </c>
      <c r="D15" s="71">
        <v>0.1077</v>
      </c>
      <c r="E15" s="72">
        <v>0.10100000000000001</v>
      </c>
      <c r="F15" s="73">
        <f t="shared" si="0"/>
        <v>0.11395</v>
      </c>
    </row>
  </sheetData>
  <mergeCells count="1">
    <mergeCell ref="B4:D4"/>
  </mergeCells>
  <phoneticPr fontId="15" type="noConversion"/>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0.499984740745262"/>
  </sheetPr>
  <dimension ref="A1:N63"/>
  <sheetViews>
    <sheetView tabSelected="1" zoomScale="85" zoomScaleNormal="85" workbookViewId="0">
      <selection activeCell="D32" sqref="D32"/>
    </sheetView>
  </sheetViews>
  <sheetFormatPr defaultColWidth="0" defaultRowHeight="14.1" zeroHeight="1"/>
  <cols>
    <col min="1" max="1" width="15.42578125" style="170" customWidth="1"/>
    <col min="2" max="2" width="43" style="177" customWidth="1"/>
    <col min="3" max="3" width="17" style="170" customWidth="1"/>
    <col min="4" max="4" width="17.42578125" style="170" customWidth="1"/>
    <col min="5" max="5" width="17.140625" style="170" customWidth="1"/>
    <col min="6" max="7" width="9.140625" style="170" customWidth="1"/>
    <col min="8" max="8" width="12.42578125" style="170" bestFit="1" customWidth="1"/>
    <col min="9" max="14" width="9.140625" style="170" customWidth="1"/>
    <col min="15" max="16384" width="9.140625" style="170" hidden="1"/>
  </cols>
  <sheetData>
    <row r="1" spans="1:14">
      <c r="A1" s="168"/>
      <c r="B1" s="221" t="s">
        <v>293</v>
      </c>
      <c r="C1" s="221"/>
      <c r="D1" s="221"/>
      <c r="E1" s="221"/>
      <c r="F1" s="221"/>
      <c r="G1" s="221"/>
      <c r="H1" s="221"/>
      <c r="I1" s="221"/>
      <c r="J1" s="221"/>
      <c r="K1" s="221"/>
      <c r="L1" s="221"/>
      <c r="M1" s="221"/>
      <c r="N1" s="169"/>
    </row>
    <row r="2" spans="1:14">
      <c r="A2" s="169"/>
      <c r="B2" s="221"/>
      <c r="C2" s="221"/>
      <c r="D2" s="221"/>
      <c r="E2" s="221"/>
      <c r="F2" s="221"/>
      <c r="G2" s="221"/>
      <c r="H2" s="221"/>
      <c r="I2" s="221"/>
      <c r="J2" s="221"/>
      <c r="K2" s="221"/>
      <c r="L2" s="221"/>
      <c r="M2" s="221"/>
      <c r="N2" s="169"/>
    </row>
    <row r="3" spans="1:14" ht="19.7" customHeight="1">
      <c r="A3" s="214"/>
      <c r="B3" s="226"/>
      <c r="C3" s="226"/>
      <c r="D3" s="61"/>
      <c r="E3" s="62"/>
      <c r="F3" s="60"/>
      <c r="G3" s="60"/>
      <c r="H3" s="214"/>
      <c r="I3" s="226"/>
      <c r="J3" s="226"/>
      <c r="K3" s="61"/>
      <c r="L3" s="62"/>
      <c r="M3" s="60"/>
      <c r="N3" s="63"/>
    </row>
    <row r="4" spans="1:14" ht="14.45">
      <c r="A4" s="123"/>
      <c r="B4" s="124"/>
      <c r="C4" s="124"/>
      <c r="D4" s="125"/>
      <c r="E4" s="126"/>
      <c r="F4" s="122"/>
      <c r="G4" s="122"/>
      <c r="H4" s="123"/>
      <c r="I4" s="124"/>
      <c r="J4" s="124"/>
      <c r="K4" s="125"/>
      <c r="L4" s="126"/>
      <c r="M4" s="122"/>
      <c r="N4" s="123"/>
    </row>
    <row r="5" spans="1:14" ht="14.45">
      <c r="A5" s="123"/>
      <c r="B5" s="124"/>
      <c r="C5" s="124"/>
      <c r="D5" s="125"/>
      <c r="E5" s="126"/>
      <c r="F5" s="122"/>
      <c r="G5" s="122"/>
      <c r="H5" s="123"/>
      <c r="I5" s="124"/>
      <c r="J5" s="124"/>
      <c r="K5" s="125"/>
      <c r="L5" s="126"/>
      <c r="M5" s="122"/>
      <c r="N5" s="123"/>
    </row>
    <row r="6" spans="1:14" ht="14.45">
      <c r="A6" s="123"/>
      <c r="B6" s="124"/>
      <c r="C6" s="124"/>
      <c r="D6" s="125"/>
      <c r="E6" s="126"/>
      <c r="F6" s="122"/>
      <c r="G6" s="122"/>
      <c r="H6" s="123"/>
      <c r="I6" s="124"/>
      <c r="J6" s="124"/>
      <c r="K6" s="125"/>
      <c r="L6" s="126"/>
      <c r="M6" s="122"/>
      <c r="N6" s="123"/>
    </row>
    <row r="7" spans="1:14" ht="15">
      <c r="A7" s="171" t="s">
        <v>83</v>
      </c>
      <c r="B7" s="172" t="s">
        <v>84</v>
      </c>
      <c r="C7" s="172"/>
      <c r="D7" s="172"/>
      <c r="E7" s="172"/>
      <c r="F7" s="172"/>
      <c r="G7" s="173"/>
      <c r="H7" s="173"/>
      <c r="I7" s="173"/>
      <c r="J7" s="174"/>
      <c r="K7" s="175"/>
      <c r="L7" s="176"/>
      <c r="M7" s="176"/>
      <c r="N7" s="176"/>
    </row>
    <row r="8" spans="1:14" ht="15">
      <c r="A8" s="171"/>
      <c r="B8" s="172"/>
      <c r="C8" s="172"/>
      <c r="D8" s="172"/>
      <c r="E8" s="172"/>
      <c r="F8" s="172"/>
      <c r="G8" s="173"/>
      <c r="H8" s="173"/>
      <c r="I8" s="173"/>
      <c r="J8" s="174"/>
      <c r="K8" s="175"/>
      <c r="L8" s="176"/>
      <c r="M8" s="176"/>
      <c r="N8" s="176"/>
    </row>
    <row r="9" spans="1:14">
      <c r="A9" s="169"/>
      <c r="B9" s="168"/>
      <c r="C9" s="221"/>
      <c r="D9" s="221"/>
      <c r="E9" s="221"/>
      <c r="F9" s="221"/>
      <c r="G9" s="221"/>
      <c r="H9" s="221"/>
      <c r="I9" s="221"/>
      <c r="J9" s="221"/>
      <c r="K9" s="221"/>
      <c r="L9" s="221"/>
      <c r="M9" s="221"/>
      <c r="N9" s="221"/>
    </row>
    <row r="10" spans="1:14">
      <c r="A10" s="169"/>
      <c r="B10" s="169"/>
      <c r="C10" s="221"/>
      <c r="D10" s="221"/>
      <c r="E10" s="221"/>
      <c r="F10" s="221"/>
      <c r="G10" s="221"/>
      <c r="H10" s="221"/>
      <c r="I10" s="221"/>
      <c r="J10" s="221"/>
      <c r="K10" s="221"/>
      <c r="L10" s="221"/>
      <c r="M10" s="221"/>
      <c r="N10" s="221"/>
    </row>
    <row r="11" spans="1:14">
      <c r="A11" s="169"/>
      <c r="B11" s="169"/>
      <c r="C11" s="284">
        <f>'Sc1 Deep-SCBA'!C41</f>
        <v>2</v>
      </c>
      <c r="D11" s="285" t="s">
        <v>294</v>
      </c>
      <c r="E11" s="169"/>
      <c r="F11" s="169"/>
      <c r="G11" s="169"/>
      <c r="H11" s="169"/>
      <c r="I11" s="169"/>
      <c r="J11" s="169"/>
      <c r="K11" s="169"/>
      <c r="L11" s="169"/>
      <c r="M11" s="169"/>
      <c r="N11" s="169"/>
    </row>
    <row r="12" spans="1:14">
      <c r="A12" s="169"/>
      <c r="B12" s="169"/>
      <c r="C12" s="284">
        <f>'Sc1 Deep-SCBA'!C40</f>
        <v>1</v>
      </c>
      <c r="D12" s="178" t="s">
        <v>295</v>
      </c>
      <c r="E12" s="169"/>
      <c r="F12" s="169"/>
      <c r="G12" s="169"/>
      <c r="H12" s="169"/>
      <c r="I12" s="169"/>
      <c r="J12" s="169"/>
      <c r="K12" s="169"/>
      <c r="L12" s="169"/>
      <c r="M12" s="169"/>
      <c r="N12" s="169"/>
    </row>
    <row r="13" spans="1:14">
      <c r="A13" s="169"/>
      <c r="B13" s="169"/>
      <c r="C13" s="169"/>
      <c r="D13" s="169"/>
      <c r="E13" s="169"/>
      <c r="F13" s="169"/>
      <c r="G13" s="169"/>
      <c r="H13" s="169"/>
      <c r="I13" s="169"/>
      <c r="J13" s="169"/>
      <c r="K13" s="169"/>
      <c r="L13" s="169"/>
      <c r="M13" s="169"/>
      <c r="N13" s="169"/>
    </row>
    <row r="14" spans="1:14">
      <c r="A14" s="169"/>
      <c r="B14" s="179" t="s">
        <v>296</v>
      </c>
      <c r="C14" s="179" t="s">
        <v>297</v>
      </c>
      <c r="D14" s="179" t="s">
        <v>298</v>
      </c>
      <c r="E14" s="179" t="s">
        <v>299</v>
      </c>
      <c r="F14" s="169"/>
      <c r="G14" s="169"/>
      <c r="H14" s="169"/>
      <c r="I14" s="169"/>
      <c r="J14" s="169"/>
      <c r="K14" s="169"/>
      <c r="L14" s="169"/>
      <c r="M14" s="169"/>
      <c r="N14" s="169"/>
    </row>
    <row r="15" spans="1:14">
      <c r="A15" s="169"/>
      <c r="B15" s="180" t="s">
        <v>300</v>
      </c>
      <c r="C15" s="181" t="s">
        <v>128</v>
      </c>
      <c r="D15" s="286">
        <v>14.2</v>
      </c>
      <c r="E15" s="286" t="s">
        <v>301</v>
      </c>
      <c r="F15" s="169"/>
      <c r="G15" s="169"/>
      <c r="H15" s="169"/>
      <c r="I15" s="169"/>
      <c r="J15" s="169"/>
      <c r="K15" s="169"/>
      <c r="L15" s="169"/>
      <c r="M15" s="169"/>
      <c r="N15" s="169"/>
    </row>
    <row r="16" spans="1:14">
      <c r="A16" s="169"/>
      <c r="B16" s="180" t="s">
        <v>302</v>
      </c>
      <c r="C16" s="181" t="s">
        <v>128</v>
      </c>
      <c r="D16" s="287">
        <v>21.8</v>
      </c>
      <c r="E16" s="286" t="s">
        <v>301</v>
      </c>
      <c r="F16" s="169"/>
      <c r="G16" s="169"/>
      <c r="H16" s="169"/>
      <c r="I16" s="169"/>
      <c r="J16" s="169"/>
      <c r="K16" s="169"/>
      <c r="L16" s="169"/>
      <c r="M16" s="169"/>
      <c r="N16" s="169"/>
    </row>
    <row r="17" spans="2:5">
      <c r="B17" s="180" t="s">
        <v>303</v>
      </c>
      <c r="C17" s="181" t="s">
        <v>128</v>
      </c>
      <c r="D17" s="287">
        <v>36</v>
      </c>
      <c r="E17" s="286" t="s">
        <v>301</v>
      </c>
    </row>
    <row r="18" spans="2:5">
      <c r="B18" s="180" t="s">
        <v>304</v>
      </c>
      <c r="C18" s="181" t="s">
        <v>128</v>
      </c>
      <c r="D18" s="287">
        <v>47</v>
      </c>
      <c r="E18" s="286" t="s">
        <v>301</v>
      </c>
    </row>
    <row r="19" spans="2:5">
      <c r="B19" s="180" t="s">
        <v>305</v>
      </c>
      <c r="C19" s="181" t="s">
        <v>128</v>
      </c>
      <c r="D19" s="286">
        <v>48.5</v>
      </c>
      <c r="E19" s="286" t="s">
        <v>301</v>
      </c>
    </row>
    <row r="20" spans="2:5">
      <c r="B20" s="180" t="s">
        <v>302</v>
      </c>
      <c r="C20" s="181" t="s">
        <v>128</v>
      </c>
      <c r="D20" s="286">
        <v>13.1</v>
      </c>
      <c r="E20" s="286" t="s">
        <v>306</v>
      </c>
    </row>
    <row r="21" spans="2:5">
      <c r="B21" s="180" t="s">
        <v>303</v>
      </c>
      <c r="C21" s="181" t="s">
        <v>128</v>
      </c>
      <c r="D21" s="286">
        <v>19.5</v>
      </c>
      <c r="E21" s="286" t="s">
        <v>306</v>
      </c>
    </row>
    <row r="22" spans="2:5">
      <c r="B22" s="180" t="s">
        <v>307</v>
      </c>
      <c r="C22" s="181" t="s">
        <v>76</v>
      </c>
      <c r="D22" s="287">
        <v>36</v>
      </c>
      <c r="E22" s="286" t="s">
        <v>301</v>
      </c>
    </row>
    <row r="23" spans="2:5">
      <c r="B23" s="180" t="s">
        <v>308</v>
      </c>
      <c r="C23" s="181" t="s">
        <v>76</v>
      </c>
      <c r="D23" s="286">
        <v>11.7</v>
      </c>
      <c r="E23" s="286" t="s">
        <v>301</v>
      </c>
    </row>
    <row r="24" spans="2:5">
      <c r="B24" s="180" t="s">
        <v>309</v>
      </c>
      <c r="C24" s="181" t="s">
        <v>76</v>
      </c>
      <c r="D24" s="287">
        <v>32.200000000000003</v>
      </c>
      <c r="E24" s="286" t="s">
        <v>301</v>
      </c>
    </row>
    <row r="25" spans="2:5">
      <c r="B25" s="180" t="s">
        <v>307</v>
      </c>
      <c r="C25" s="181" t="s">
        <v>310</v>
      </c>
      <c r="D25" s="287">
        <v>51</v>
      </c>
      <c r="E25" s="286" t="s">
        <v>301</v>
      </c>
    </row>
    <row r="26" spans="2:5">
      <c r="B26" s="180" t="s">
        <v>308</v>
      </c>
      <c r="C26" s="181" t="s">
        <v>310</v>
      </c>
      <c r="D26" s="286">
        <v>17.8</v>
      </c>
      <c r="E26" s="286" t="s">
        <v>301</v>
      </c>
    </row>
    <row r="27" spans="2:5">
      <c r="B27" s="180" t="s">
        <v>309</v>
      </c>
      <c r="C27" s="181" t="s">
        <v>310</v>
      </c>
      <c r="D27" s="287">
        <v>43.4</v>
      </c>
      <c r="E27" s="286" t="s">
        <v>301</v>
      </c>
    </row>
    <row r="28" spans="2:5">
      <c r="B28" s="180" t="s">
        <v>307</v>
      </c>
      <c r="C28" s="181" t="s">
        <v>311</v>
      </c>
      <c r="D28" s="286">
        <v>32</v>
      </c>
      <c r="E28" s="286" t="s">
        <v>301</v>
      </c>
    </row>
    <row r="29" spans="2:5">
      <c r="B29" s="180" t="s">
        <v>308</v>
      </c>
      <c r="C29" s="181" t="s">
        <v>311</v>
      </c>
      <c r="D29" s="286">
        <v>17.8</v>
      </c>
      <c r="E29" s="286" t="s">
        <v>301</v>
      </c>
    </row>
    <row r="30" spans="2:5">
      <c r="B30" s="180" t="s">
        <v>309</v>
      </c>
      <c r="C30" s="181" t="s">
        <v>311</v>
      </c>
      <c r="D30" s="286">
        <v>27.2</v>
      </c>
      <c r="E30" s="286" t="s">
        <v>301</v>
      </c>
    </row>
    <row r="31" spans="2:5">
      <c r="B31" s="180" t="s">
        <v>312</v>
      </c>
      <c r="C31" s="181" t="s">
        <v>313</v>
      </c>
      <c r="D31" s="286">
        <v>9.6</v>
      </c>
      <c r="E31" s="286" t="s">
        <v>301</v>
      </c>
    </row>
    <row r="32" spans="2:5">
      <c r="B32" s="180" t="s">
        <v>307</v>
      </c>
      <c r="C32" s="181" t="s">
        <v>314</v>
      </c>
      <c r="D32" s="287">
        <v>57</v>
      </c>
      <c r="E32" s="286" t="s">
        <v>301</v>
      </c>
    </row>
    <row r="33" spans="2:8">
      <c r="B33" s="180" t="s">
        <v>308</v>
      </c>
      <c r="C33" s="181" t="s">
        <v>315</v>
      </c>
      <c r="D33" s="286">
        <v>4.3</v>
      </c>
      <c r="E33" s="286" t="s">
        <v>301</v>
      </c>
      <c r="F33" s="169"/>
      <c r="G33" s="169"/>
      <c r="H33" s="169"/>
    </row>
    <row r="34" spans="2:8">
      <c r="B34" s="180" t="s">
        <v>309</v>
      </c>
      <c r="C34" s="181" t="s">
        <v>315</v>
      </c>
      <c r="D34" s="287">
        <v>174</v>
      </c>
      <c r="E34" s="286" t="s">
        <v>301</v>
      </c>
      <c r="F34" s="169"/>
      <c r="G34" s="169"/>
      <c r="H34" s="169"/>
    </row>
    <row r="35" spans="2:8">
      <c r="B35" s="180" t="s">
        <v>316</v>
      </c>
      <c r="C35" s="181" t="s">
        <v>317</v>
      </c>
      <c r="D35" s="287">
        <v>24</v>
      </c>
      <c r="E35" s="286" t="s">
        <v>318</v>
      </c>
      <c r="F35" s="169"/>
      <c r="G35" s="169"/>
      <c r="H35" s="169"/>
    </row>
    <row r="36" spans="2:8">
      <c r="B36" s="180" t="s">
        <v>80</v>
      </c>
      <c r="C36" s="181" t="s">
        <v>319</v>
      </c>
      <c r="D36" s="287">
        <v>58</v>
      </c>
      <c r="E36" s="286" t="s">
        <v>320</v>
      </c>
      <c r="F36" s="169"/>
      <c r="G36" s="169"/>
      <c r="H36" s="169"/>
    </row>
    <row r="37" spans="2:8" ht="15.95">
      <c r="B37" s="180" t="s">
        <v>321</v>
      </c>
      <c r="C37" s="181" t="s">
        <v>317</v>
      </c>
      <c r="D37" s="286">
        <v>10.8</v>
      </c>
      <c r="E37" s="286" t="s">
        <v>322</v>
      </c>
      <c r="F37" s="169"/>
      <c r="G37" s="169"/>
      <c r="H37" s="169"/>
    </row>
    <row r="38" spans="2:8" ht="15.95">
      <c r="B38" s="180" t="s">
        <v>323</v>
      </c>
      <c r="C38" s="181" t="s">
        <v>317</v>
      </c>
      <c r="D38" s="286">
        <v>7.6</v>
      </c>
      <c r="E38" s="286" t="s">
        <v>322</v>
      </c>
      <c r="F38" s="182">
        <f>D37*0.75+D38*0.25</f>
        <v>10.000000000000002</v>
      </c>
      <c r="G38" s="169"/>
      <c r="H38" s="169"/>
    </row>
    <row r="39" spans="2:8" ht="15.95">
      <c r="B39" s="180" t="s">
        <v>324</v>
      </c>
      <c r="C39" s="181" t="s">
        <v>317</v>
      </c>
      <c r="D39" s="286">
        <v>29.9</v>
      </c>
      <c r="E39" s="286" t="s">
        <v>325</v>
      </c>
      <c r="F39" s="182"/>
      <c r="G39" s="169"/>
      <c r="H39" s="169"/>
    </row>
    <row r="40" spans="2:8" ht="15.95">
      <c r="B40" s="180" t="s">
        <v>326</v>
      </c>
      <c r="C40" s="181" t="s">
        <v>317</v>
      </c>
      <c r="D40" s="286">
        <v>10.4</v>
      </c>
      <c r="E40" s="286" t="s">
        <v>325</v>
      </c>
      <c r="F40" s="182"/>
      <c r="G40" s="169"/>
      <c r="H40" s="169"/>
    </row>
    <row r="41" spans="2:8" ht="15.95">
      <c r="B41" s="180" t="s">
        <v>327</v>
      </c>
      <c r="C41" s="181" t="s">
        <v>317</v>
      </c>
      <c r="D41" s="286">
        <v>0.2</v>
      </c>
      <c r="E41" s="286" t="s">
        <v>325</v>
      </c>
      <c r="F41" s="182">
        <f>D39*0.7+D40*0.2+D41*0.1</f>
        <v>23.029999999999998</v>
      </c>
      <c r="G41" s="169"/>
      <c r="H41" s="169"/>
    </row>
    <row r="42" spans="2:8">
      <c r="B42" s="168"/>
      <c r="C42" s="169"/>
      <c r="D42" s="169"/>
      <c r="E42" s="169"/>
      <c r="F42" s="169"/>
      <c r="G42" s="169"/>
      <c r="H42" s="169"/>
    </row>
    <row r="43" spans="2:8">
      <c r="B43" s="168"/>
      <c r="C43" s="169"/>
      <c r="D43" s="169"/>
      <c r="E43" s="169"/>
      <c r="F43" s="169"/>
      <c r="G43" s="169"/>
      <c r="H43" s="169"/>
    </row>
    <row r="44" spans="2:8">
      <c r="B44" s="168"/>
      <c r="C44" s="169"/>
      <c r="D44" s="169"/>
      <c r="E44" s="169"/>
      <c r="F44" s="169"/>
      <c r="G44" s="169"/>
      <c r="H44" s="169"/>
    </row>
    <row r="45" spans="2:8">
      <c r="B45" s="168"/>
      <c r="C45" s="169"/>
      <c r="D45" s="169"/>
      <c r="E45" s="169"/>
      <c r="F45" s="169"/>
      <c r="G45" s="169"/>
      <c r="H45" s="169"/>
    </row>
    <row r="46" spans="2:8">
      <c r="B46" s="183"/>
      <c r="C46" s="183"/>
      <c r="D46" s="184" t="s">
        <v>328</v>
      </c>
      <c r="E46" s="184" t="s">
        <v>329</v>
      </c>
      <c r="F46" s="169"/>
      <c r="G46" s="169"/>
      <c r="H46" s="169"/>
    </row>
    <row r="47" spans="2:8">
      <c r="B47" s="222" t="s">
        <v>163</v>
      </c>
      <c r="C47" s="185" t="s">
        <v>164</v>
      </c>
      <c r="D47" s="185" t="s">
        <v>330</v>
      </c>
      <c r="E47" s="185" t="s">
        <v>330</v>
      </c>
      <c r="F47" s="169"/>
      <c r="G47" s="169"/>
      <c r="H47" s="146" t="s">
        <v>331</v>
      </c>
    </row>
    <row r="48" spans="2:8">
      <c r="B48" s="223"/>
      <c r="C48" s="185" t="s">
        <v>165</v>
      </c>
      <c r="D48" s="185" t="s">
        <v>332</v>
      </c>
      <c r="E48" s="185" t="s">
        <v>332</v>
      </c>
      <c r="F48" s="169"/>
      <c r="G48" s="169"/>
      <c r="H48" s="146" t="s">
        <v>332</v>
      </c>
    </row>
    <row r="49" spans="2:8">
      <c r="B49" s="186" t="s">
        <v>166</v>
      </c>
      <c r="C49" s="187">
        <v>32</v>
      </c>
      <c r="D49" s="188"/>
      <c r="E49" s="188"/>
      <c r="F49" s="169"/>
      <c r="G49" s="169"/>
      <c r="H49" s="288"/>
    </row>
    <row r="50" spans="2:8">
      <c r="B50" s="186" t="s">
        <v>167</v>
      </c>
      <c r="C50" s="187">
        <v>27.2</v>
      </c>
      <c r="D50" s="189">
        <v>1.2E-2</v>
      </c>
      <c r="E50" s="189">
        <v>7.1400000000000005E-2</v>
      </c>
      <c r="F50" s="169"/>
      <c r="G50" s="169"/>
      <c r="H50" s="289">
        <v>8.9999999999999993E-3</v>
      </c>
    </row>
    <row r="51" spans="2:8">
      <c r="B51" s="186" t="s">
        <v>168</v>
      </c>
      <c r="C51" s="187">
        <v>20</v>
      </c>
      <c r="D51" s="190"/>
      <c r="E51" s="190"/>
      <c r="F51" s="169"/>
      <c r="G51" s="169"/>
      <c r="H51" s="290"/>
    </row>
    <row r="52" spans="2:8">
      <c r="B52" s="186" t="s">
        <v>169</v>
      </c>
      <c r="C52" s="187">
        <v>17.899999999999999</v>
      </c>
      <c r="D52" s="189">
        <v>2.1299999999999999E-2</v>
      </c>
      <c r="E52" s="189">
        <v>8.0699999999999994E-2</v>
      </c>
      <c r="F52" s="169"/>
      <c r="G52" s="169"/>
      <c r="H52" s="289">
        <v>1.2E-2</v>
      </c>
    </row>
    <row r="53" spans="2:8">
      <c r="B53" s="186" t="s">
        <v>170</v>
      </c>
      <c r="C53" s="187">
        <v>23.5</v>
      </c>
      <c r="D53" s="190"/>
      <c r="E53" s="190"/>
      <c r="F53" s="169"/>
      <c r="G53" s="169"/>
      <c r="H53" s="290"/>
    </row>
    <row r="54" spans="2:8">
      <c r="B54" s="186" t="s">
        <v>171</v>
      </c>
      <c r="C54" s="187">
        <v>14.2</v>
      </c>
      <c r="D54" s="189">
        <v>2.7699999999999999E-2</v>
      </c>
      <c r="E54" s="189">
        <v>5.5300000000000002E-2</v>
      </c>
      <c r="F54" s="169"/>
      <c r="G54" s="169"/>
      <c r="H54" s="289">
        <v>1.0999999999999999E-2</v>
      </c>
    </row>
    <row r="55" spans="2:8">
      <c r="B55" s="186" t="s">
        <v>172</v>
      </c>
      <c r="C55" s="187">
        <v>48.5</v>
      </c>
      <c r="D55" s="190"/>
      <c r="E55" s="190"/>
      <c r="F55" s="169"/>
      <c r="G55" s="169"/>
      <c r="H55" s="290"/>
    </row>
    <row r="56" spans="2:8">
      <c r="B56" s="186" t="s">
        <v>173</v>
      </c>
      <c r="C56" s="187">
        <v>14.1</v>
      </c>
      <c r="D56" s="189">
        <v>8.0000000000000002E-3</v>
      </c>
      <c r="E56" s="189">
        <v>2.7E-2</v>
      </c>
      <c r="F56" s="169"/>
      <c r="G56" s="169"/>
      <c r="H56" s="289">
        <v>5.0000000000000001E-3</v>
      </c>
    </row>
    <row r="57" spans="2:8">
      <c r="B57" s="186" t="s">
        <v>174</v>
      </c>
      <c r="C57" s="187">
        <v>9.6</v>
      </c>
      <c r="D57" s="189">
        <v>2.4E-2</v>
      </c>
      <c r="E57" s="189">
        <v>0.11</v>
      </c>
      <c r="F57" s="169"/>
      <c r="G57" s="169"/>
      <c r="H57" s="289">
        <v>2.5999999999999999E-2</v>
      </c>
    </row>
    <row r="58" spans="2:8">
      <c r="B58" s="185" t="s">
        <v>163</v>
      </c>
      <c r="C58" s="185" t="s">
        <v>333</v>
      </c>
      <c r="D58" s="191" t="s">
        <v>332</v>
      </c>
      <c r="E58" s="191" t="s">
        <v>332</v>
      </c>
      <c r="F58" s="169"/>
      <c r="G58" s="169"/>
      <c r="H58" s="192" t="s">
        <v>332</v>
      </c>
    </row>
    <row r="59" spans="2:8">
      <c r="B59" s="186" t="s">
        <v>334</v>
      </c>
      <c r="C59" s="187">
        <v>10</v>
      </c>
      <c r="D59" s="189">
        <v>-8.3999999999999995E-3</v>
      </c>
      <c r="E59" s="189">
        <v>2.87E-2</v>
      </c>
      <c r="F59" s="169"/>
      <c r="G59" s="169"/>
      <c r="H59" s="289">
        <v>5.0000000000000001E-3</v>
      </c>
    </row>
    <row r="60" spans="2:8">
      <c r="B60" s="186" t="s">
        <v>335</v>
      </c>
      <c r="C60" s="187">
        <v>23</v>
      </c>
      <c r="D60" s="189">
        <v>2.4799999999999999E-2</v>
      </c>
      <c r="E60" s="189">
        <v>3.4500000000000003E-2</v>
      </c>
      <c r="F60" s="169"/>
      <c r="G60" s="169"/>
      <c r="H60" s="289">
        <v>1.2999999999999999E-2</v>
      </c>
    </row>
    <row r="61" spans="2:8">
      <c r="B61" s="186" t="s">
        <v>336</v>
      </c>
      <c r="C61" s="187">
        <v>0.4</v>
      </c>
      <c r="D61" s="189">
        <v>-0.15049999999999999</v>
      </c>
      <c r="E61" s="189">
        <v>0.4592</v>
      </c>
      <c r="F61" s="169"/>
      <c r="G61" s="169"/>
      <c r="H61" s="289">
        <v>8.9999999999999993E-3</v>
      </c>
    </row>
    <row r="62" spans="2:8">
      <c r="B62" s="168"/>
      <c r="C62" s="169"/>
      <c r="D62" s="169"/>
      <c r="E62" s="169"/>
      <c r="F62" s="169"/>
      <c r="G62" s="169"/>
      <c r="H62" s="169"/>
    </row>
    <row r="63" spans="2:8">
      <c r="B63" s="168"/>
      <c r="C63" s="169"/>
      <c r="D63" s="169"/>
      <c r="E63" s="169"/>
      <c r="F63" s="169"/>
      <c r="G63" s="169"/>
      <c r="H63" s="169"/>
    </row>
  </sheetData>
  <sheetProtection algorithmName="SHA-512" hashValue="y66TN+nMgLcQNLBdOSQqVaTm5OxVUWK/Hlo34P8e7Wx97K6lMUJG7UrMudFAAnUVDwWvOwqxGw4/G74djqcStg==" saltValue="hLaj6jkYpxGVBqGuE7av7g==" spinCount="100000" sheet="1" objects="1" scenarios="1" selectLockedCells="1"/>
  <mergeCells count="5">
    <mergeCell ref="C9:N10"/>
    <mergeCell ref="B47:B48"/>
    <mergeCell ref="B1:M2"/>
    <mergeCell ref="A3:C3"/>
    <mergeCell ref="H3:J3"/>
  </mergeCells>
  <pageMargins left="0.7" right="0.7" top="0.75" bottom="0.75" header="0.3" footer="0.3"/>
  <pageSetup paperSize="9"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41AC3-A627-4DA0-B277-C093ED9AE5E6}">
  <sheetPr>
    <tabColor theme="7" tint="0.59999389629810485"/>
  </sheetPr>
  <dimension ref="A1:T71"/>
  <sheetViews>
    <sheetView zoomScale="70" zoomScaleNormal="70" workbookViewId="0">
      <selection activeCell="O11" sqref="A1:XFD1048576"/>
    </sheetView>
  </sheetViews>
  <sheetFormatPr defaultColWidth="0" defaultRowHeight="14.1" zeroHeight="1"/>
  <cols>
    <col min="1" max="1" width="16.5703125" style="193" customWidth="1"/>
    <col min="2" max="2" width="37.5703125" style="193" customWidth="1"/>
    <col min="3" max="3" width="14.42578125" style="193" bestFit="1" customWidth="1"/>
    <col min="4" max="4" width="14.5703125" style="193" customWidth="1"/>
    <col min="5" max="8" width="11.5703125" style="193" bestFit="1" customWidth="1"/>
    <col min="9" max="9" width="14.42578125" style="193" customWidth="1"/>
    <col min="10" max="10" width="11.5703125" style="193" bestFit="1" customWidth="1"/>
    <col min="11" max="11" width="14" style="193" customWidth="1"/>
    <col min="12" max="18" width="11.42578125" style="193" customWidth="1"/>
    <col min="19" max="19" width="11.42578125" style="193" hidden="1" customWidth="1"/>
    <col min="20" max="20" width="11.5703125" style="193" hidden="1" customWidth="1"/>
    <col min="21" max="16384" width="11.42578125" style="193" hidden="1"/>
  </cols>
  <sheetData>
    <row r="1" spans="1:18" ht="14.25" customHeight="1">
      <c r="A1" s="133"/>
      <c r="B1" s="133"/>
      <c r="C1" s="215" t="s">
        <v>53</v>
      </c>
      <c r="D1" s="215"/>
      <c r="E1" s="215"/>
      <c r="F1" s="215"/>
      <c r="G1" s="215"/>
      <c r="H1" s="215"/>
      <c r="I1" s="215"/>
      <c r="J1" s="215"/>
      <c r="K1" s="215"/>
      <c r="L1" s="215"/>
      <c r="M1" s="215"/>
      <c r="N1" s="215"/>
      <c r="O1" s="133"/>
      <c r="P1" s="133"/>
      <c r="Q1" s="133"/>
      <c r="R1" s="133"/>
    </row>
    <row r="2" spans="1:18" ht="14.25" customHeight="1">
      <c r="A2" s="133"/>
      <c r="B2" s="133"/>
      <c r="C2" s="215"/>
      <c r="D2" s="215"/>
      <c r="E2" s="215"/>
      <c r="F2" s="215"/>
      <c r="G2" s="215"/>
      <c r="H2" s="215"/>
      <c r="I2" s="215"/>
      <c r="J2" s="215"/>
      <c r="K2" s="215"/>
      <c r="L2" s="215"/>
      <c r="M2" s="215"/>
      <c r="N2" s="215"/>
      <c r="O2" s="133"/>
      <c r="P2" s="133"/>
      <c r="Q2" s="133"/>
      <c r="R2" s="133"/>
    </row>
    <row r="3" spans="1:18" ht="14.25" customHeight="1">
      <c r="A3" s="133"/>
      <c r="B3" s="133"/>
      <c r="C3" s="215"/>
      <c r="D3" s="215"/>
      <c r="E3" s="215"/>
      <c r="F3" s="215"/>
      <c r="G3" s="215"/>
      <c r="H3" s="215"/>
      <c r="I3" s="215"/>
      <c r="J3" s="215"/>
      <c r="K3" s="215"/>
      <c r="L3" s="215"/>
      <c r="M3" s="215"/>
      <c r="N3" s="215"/>
      <c r="O3" s="133"/>
      <c r="P3" s="133"/>
      <c r="Q3" s="133"/>
      <c r="R3" s="133"/>
    </row>
    <row r="4" spans="1:18" ht="9" customHeight="1">
      <c r="A4" s="61"/>
      <c r="B4" s="60"/>
      <c r="C4" s="214"/>
      <c r="D4" s="226"/>
      <c r="E4" s="226"/>
      <c r="F4" s="61"/>
      <c r="G4" s="62"/>
      <c r="H4" s="60"/>
      <c r="I4" s="63"/>
      <c r="J4" s="63"/>
      <c r="K4" s="61"/>
      <c r="L4" s="64"/>
      <c r="M4" s="194"/>
      <c r="N4" s="195"/>
      <c r="O4" s="196"/>
      <c r="P4" s="197"/>
      <c r="Q4" s="197"/>
      <c r="R4" s="194"/>
    </row>
    <row r="5" spans="1:18">
      <c r="A5" s="291"/>
      <c r="B5" s="291"/>
      <c r="C5" s="291"/>
      <c r="D5" s="291"/>
      <c r="E5" s="291"/>
      <c r="F5" s="291"/>
      <c r="G5" s="291"/>
      <c r="H5" s="291"/>
      <c r="I5" s="291"/>
      <c r="J5" s="291"/>
      <c r="K5" s="291"/>
      <c r="L5" s="291"/>
      <c r="M5" s="133"/>
      <c r="N5" s="133"/>
      <c r="O5" s="133"/>
      <c r="P5" s="133"/>
      <c r="Q5" s="133"/>
      <c r="R5" s="133"/>
    </row>
    <row r="6" spans="1:18">
      <c r="A6" s="133"/>
      <c r="B6" s="292"/>
      <c r="C6" s="224" t="s">
        <v>133</v>
      </c>
      <c r="D6" s="224"/>
      <c r="E6" s="224" t="s">
        <v>134</v>
      </c>
      <c r="F6" s="224"/>
      <c r="G6" s="224" t="s">
        <v>135</v>
      </c>
      <c r="H6" s="224"/>
      <c r="I6" s="198"/>
      <c r="J6" s="199" t="s">
        <v>337</v>
      </c>
      <c r="K6" s="199"/>
      <c r="L6" s="291"/>
      <c r="M6" s="133"/>
      <c r="N6" s="133"/>
      <c r="O6" s="133"/>
      <c r="P6" s="133"/>
      <c r="Q6" s="133"/>
      <c r="R6" s="133"/>
    </row>
    <row r="7" spans="1:18" ht="27.95">
      <c r="A7" s="200" t="s">
        <v>338</v>
      </c>
      <c r="B7" s="199" t="s">
        <v>339</v>
      </c>
      <c r="C7" s="292" t="s">
        <v>340</v>
      </c>
      <c r="D7" s="292" t="s">
        <v>341</v>
      </c>
      <c r="E7" s="292" t="s">
        <v>340</v>
      </c>
      <c r="F7" s="292" t="s">
        <v>341</v>
      </c>
      <c r="G7" s="292" t="s">
        <v>340</v>
      </c>
      <c r="H7" s="292" t="s">
        <v>341</v>
      </c>
      <c r="I7" s="292" t="s">
        <v>342</v>
      </c>
      <c r="J7" s="292" t="s">
        <v>343</v>
      </c>
      <c r="K7" s="292" t="s">
        <v>344</v>
      </c>
      <c r="L7" s="293" t="s">
        <v>345</v>
      </c>
      <c r="M7" s="133"/>
      <c r="N7" s="133"/>
      <c r="O7" s="133"/>
      <c r="P7" s="133"/>
      <c r="Q7" s="133"/>
      <c r="R7" s="133"/>
    </row>
    <row r="8" spans="1:18" ht="14.45">
      <c r="A8" s="200" t="s">
        <v>346</v>
      </c>
      <c r="B8" s="292" t="s">
        <v>347</v>
      </c>
      <c r="C8" s="203">
        <f>'Sc0-CBA'!C43</f>
        <v>-168481595.48318762</v>
      </c>
      <c r="D8" s="203">
        <f>'Sc0-SCBA'!C41</f>
        <v>335427591.07475793</v>
      </c>
      <c r="E8" s="204">
        <f>'Sc0-CBA'!C44</f>
        <v>-7.0746153784468913E-3</v>
      </c>
      <c r="F8" s="205">
        <f>'Sc0-SCBA'!C42</f>
        <v>0.10304066548167623</v>
      </c>
      <c r="G8" s="206">
        <f>'Sc0-CBA'!C45</f>
        <v>0.92504055331216917</v>
      </c>
      <c r="H8" s="206">
        <f>'Sc0-SCBA'!C43</f>
        <v>1.1507251950269997</v>
      </c>
      <c r="I8" s="201">
        <f>'Sc0-CBA'!C36+'Sc0-CBA'!C37</f>
        <v>822.56842105263149</v>
      </c>
      <c r="J8" s="202">
        <f>'Sc0-CBA'!C13</f>
        <v>340000</v>
      </c>
      <c r="K8" s="294">
        <f>J8</f>
        <v>340000</v>
      </c>
      <c r="L8" s="293">
        <f>D8/K8</f>
        <v>986.55173845517038</v>
      </c>
      <c r="M8" s="133"/>
      <c r="N8" s="133"/>
      <c r="O8" s="133"/>
      <c r="P8" s="133"/>
      <c r="Q8" s="133"/>
      <c r="R8" s="133"/>
    </row>
    <row r="9" spans="1:18" ht="14.45">
      <c r="A9" s="200" t="s">
        <v>348</v>
      </c>
      <c r="B9" s="292" t="s">
        <v>349</v>
      </c>
      <c r="C9" s="203">
        <f>'Sc1 Deep-CBA'!C29</f>
        <v>-421051245.4889518</v>
      </c>
      <c r="D9" s="203">
        <f>'Sc1 Deep-SCBA'!C28</f>
        <v>133059084.47625983</v>
      </c>
      <c r="E9" s="204">
        <f>'Sc1 Deep-CBA'!C30</f>
        <v>-4.1688249777024788E-2</v>
      </c>
      <c r="F9" s="205">
        <f>'Sc1 Deep-SCBA'!C29</f>
        <v>0.10237324467622444</v>
      </c>
      <c r="G9" s="206">
        <f>'Sc1 Deep-CBA'!C31</f>
        <v>0.3808069919280121</v>
      </c>
      <c r="H9" s="206">
        <f>'Sc1 Deep-SCBA'!C30</f>
        <v>17.405409828924405</v>
      </c>
      <c r="I9" s="201">
        <f>'Sc1 Deep-CBA'!C18+'Sc1 Deep-CBA'!C19</f>
        <v>2880.0599999999995</v>
      </c>
      <c r="J9" s="202">
        <f>'Sc1 Deep-CBA'!C13</f>
        <v>40000</v>
      </c>
      <c r="K9" s="295">
        <f t="shared" ref="K9:K13" si="0">2*J9</f>
        <v>80000</v>
      </c>
      <c r="L9" s="293"/>
      <c r="M9" s="133"/>
      <c r="N9" s="133"/>
      <c r="O9" s="133"/>
      <c r="P9" s="133"/>
      <c r="Q9" s="133"/>
      <c r="R9" s="133"/>
    </row>
    <row r="10" spans="1:18" ht="14.45">
      <c r="A10" s="200" t="s">
        <v>350</v>
      </c>
      <c r="B10" s="292" t="s">
        <v>351</v>
      </c>
      <c r="C10" s="206">
        <f>'Sc1 Medium-CBA'!C29</f>
        <v>-405173674.14212042</v>
      </c>
      <c r="D10" s="207">
        <f>'Sc1 Medium-SCBA'!C28</f>
        <v>142004464.74478471</v>
      </c>
      <c r="E10" s="208">
        <f>'Sc1 Medium-CBA'!C30</f>
        <v>-3.7907653129466201E-2</v>
      </c>
      <c r="F10" s="205">
        <f>'Sc1 Medium-SCBA'!C29</f>
        <v>0.12190025985490949</v>
      </c>
      <c r="G10" s="206">
        <f>'Sc1 Medium-CBA'!C31</f>
        <v>0.40415636155570528</v>
      </c>
      <c r="H10" s="209">
        <f>'Sc1 Medium-SCBA'!C30</f>
        <v>9.9525004818882756</v>
      </c>
      <c r="I10" s="201">
        <f>'Sc1 Medium-CBA'!C18+'Sc1 Medium-CBA'!C19</f>
        <v>2337.4400000000005</v>
      </c>
      <c r="J10" s="202">
        <f>'Sc1 Medium-CBA'!C13</f>
        <v>52307.692307692305</v>
      </c>
      <c r="K10" s="295">
        <f t="shared" si="0"/>
        <v>104615.38461538461</v>
      </c>
      <c r="L10" s="293">
        <f>D10/K10</f>
        <v>1357.3956188839716</v>
      </c>
      <c r="M10" s="133"/>
      <c r="N10" s="133"/>
      <c r="O10" s="133"/>
      <c r="P10" s="133"/>
      <c r="Q10" s="133"/>
      <c r="R10" s="133"/>
    </row>
    <row r="11" spans="1:18" ht="14.45">
      <c r="A11" s="200" t="s">
        <v>352</v>
      </c>
      <c r="B11" s="292" t="s">
        <v>353</v>
      </c>
      <c r="C11" s="203">
        <f>'Sc2-CBA'!C37</f>
        <v>-365013846.77368557</v>
      </c>
      <c r="D11" s="206">
        <f>'Sc2-SCBA'!C35</f>
        <v>-346848932.4553656</v>
      </c>
      <c r="E11" s="208">
        <f>'Sc2-CBA'!C38</f>
        <v>-0.11849036033639482</v>
      </c>
      <c r="F11" s="204">
        <f>'Sc2-SCBA'!C36</f>
        <v>-6.0315349970859189E-2</v>
      </c>
      <c r="G11" s="206">
        <f>'Sc2-CBA'!C39</f>
        <v>0.48665900721397315</v>
      </c>
      <c r="H11" s="206">
        <f>'Sc2-SCBA'!C37</f>
        <v>0.67483681606571899</v>
      </c>
      <c r="I11" s="201">
        <f>'Sc2-CBA'!C26+'Sc2-CBA'!C27</f>
        <v>3041.6466666666665</v>
      </c>
      <c r="J11" s="202">
        <f>'Sc2-CBA'!C13</f>
        <v>68000</v>
      </c>
      <c r="K11" s="295">
        <f t="shared" si="0"/>
        <v>136000</v>
      </c>
      <c r="L11" s="293">
        <f>D11/K11</f>
        <v>-2550.3597974659233</v>
      </c>
      <c r="M11" s="133"/>
      <c r="N11" s="133"/>
      <c r="O11" s="133"/>
      <c r="P11" s="133"/>
      <c r="Q11" s="133"/>
      <c r="R11" s="133"/>
    </row>
    <row r="12" spans="1:18" ht="14.45">
      <c r="A12" s="200" t="s">
        <v>354</v>
      </c>
      <c r="B12" s="292" t="s">
        <v>355</v>
      </c>
      <c r="C12" s="203">
        <f>'Sc3 Deep-CBA'!C48</f>
        <v>-302326494.14670295</v>
      </c>
      <c r="D12" s="207">
        <f>'Sc3 Deep-SCBA'!C48</f>
        <v>230263586.58494323</v>
      </c>
      <c r="E12" s="204">
        <f>'Sc3 Deep-CBA'!C49</f>
        <v>-1.5561794149044905E-2</v>
      </c>
      <c r="F12" s="205">
        <f>'Sc3 Deep-SCBA'!C49</f>
        <v>0.13956875464284391</v>
      </c>
      <c r="G12" s="206">
        <f>'Sc3 Deep-CBA'!C50</f>
        <v>0.61766968352502583</v>
      </c>
      <c r="H12" s="209">
        <f>'Sc3 Deep-SCBA'!C50</f>
        <v>1.4244646125545335</v>
      </c>
      <c r="I12" s="201">
        <f>'Sc3 Deep-CBA'!C38</f>
        <v>2427.2533333333326</v>
      </c>
      <c r="J12" s="202">
        <f>'Sc3 Deep-CBA'!C19</f>
        <v>21438.254673854786</v>
      </c>
      <c r="K12" s="295">
        <f t="shared" si="0"/>
        <v>42876.509347709572</v>
      </c>
      <c r="L12" s="293">
        <f>D12/K12</f>
        <v>5370.3902227116287</v>
      </c>
      <c r="M12" s="133"/>
      <c r="N12" s="133"/>
      <c r="O12" s="133"/>
      <c r="P12" s="133"/>
      <c r="Q12" s="133"/>
      <c r="R12" s="133"/>
    </row>
    <row r="13" spans="1:18" ht="14.45">
      <c r="A13" s="200" t="s">
        <v>356</v>
      </c>
      <c r="B13" s="292" t="s">
        <v>357</v>
      </c>
      <c r="C13" s="203">
        <f>'Sc3 Medium-CBA'!C48</f>
        <v>-258956124.04745609</v>
      </c>
      <c r="D13" s="207">
        <f>'Sc3 Medium-SCBA'!C46</f>
        <v>313058976.38507509</v>
      </c>
      <c r="E13" s="204">
        <f>'Sc3 Medium-CBA'!C49</f>
        <v>-8.5345377011657453E-3</v>
      </c>
      <c r="F13" s="205">
        <f>'Sc3 Medium-SCBA'!C47</f>
        <v>0.30185955063410619</v>
      </c>
      <c r="G13" s="206">
        <f>'Sc3 Medium-CBA'!C50</f>
        <v>0.68694383279659155</v>
      </c>
      <c r="H13" s="209">
        <f>'Sc3 Medium-SCBA'!C48</f>
        <v>1.5181865336725742</v>
      </c>
      <c r="I13" s="201">
        <f>'Sc3 Medium-CBA'!C38</f>
        <v>1694.7466666666674</v>
      </c>
      <c r="J13" s="202">
        <f>'Sc3 Medium-CBA'!C19</f>
        <v>24531.909520545476</v>
      </c>
      <c r="K13" s="295">
        <f t="shared" si="0"/>
        <v>49063.819041090952</v>
      </c>
      <c r="L13" s="293">
        <f>D13/K13</f>
        <v>6380.6483576602177</v>
      </c>
      <c r="M13" s="133"/>
      <c r="N13" s="133"/>
      <c r="O13" s="133"/>
      <c r="P13" s="133"/>
      <c r="Q13" s="133"/>
      <c r="R13" s="133"/>
    </row>
    <row r="14" spans="1:18">
      <c r="A14" s="133"/>
      <c r="B14" s="133"/>
      <c r="C14" s="133"/>
      <c r="D14" s="133"/>
      <c r="E14" s="133"/>
      <c r="F14" s="133"/>
      <c r="G14" s="133"/>
      <c r="H14" s="133"/>
      <c r="I14" s="133"/>
      <c r="J14" s="133"/>
      <c r="K14" s="133"/>
      <c r="L14" s="133"/>
      <c r="M14" s="133"/>
      <c r="N14" s="133"/>
      <c r="O14" s="133"/>
      <c r="P14" s="133"/>
      <c r="Q14" s="133"/>
      <c r="R14" s="133"/>
    </row>
    <row r="15" spans="1:18">
      <c r="A15" s="133"/>
      <c r="B15" s="133"/>
      <c r="C15" s="133"/>
      <c r="D15" s="133"/>
      <c r="E15" s="133"/>
      <c r="F15" s="133"/>
      <c r="G15" s="133"/>
      <c r="H15" s="133"/>
      <c r="I15" s="133"/>
      <c r="J15" s="133"/>
      <c r="K15" s="133"/>
      <c r="L15" s="133"/>
      <c r="M15" s="133"/>
      <c r="N15" s="133"/>
      <c r="O15" s="133"/>
      <c r="P15" s="133"/>
      <c r="Q15" s="133"/>
      <c r="R15" s="133"/>
    </row>
    <row r="16" spans="1:18">
      <c r="A16" s="133"/>
      <c r="B16" s="133"/>
      <c r="C16" s="133"/>
      <c r="D16" s="133"/>
      <c r="E16" s="133"/>
      <c r="F16" s="133"/>
      <c r="G16" s="133"/>
      <c r="H16" s="133"/>
      <c r="I16" s="133"/>
      <c r="J16" s="133"/>
      <c r="K16" s="133"/>
      <c r="L16" s="133"/>
      <c r="M16" s="133"/>
      <c r="N16" s="133"/>
      <c r="O16" s="133"/>
      <c r="P16" s="133"/>
      <c r="Q16" s="133"/>
      <c r="R16" s="133"/>
    </row>
    <row r="17" spans="1:18">
      <c r="A17" s="133"/>
      <c r="B17" s="133"/>
      <c r="C17" s="133"/>
      <c r="D17" s="133"/>
      <c r="E17" s="133"/>
      <c r="F17" s="133"/>
      <c r="G17" s="133"/>
      <c r="H17" s="133"/>
      <c r="I17" s="133"/>
      <c r="J17" s="133"/>
      <c r="K17" s="133"/>
      <c r="L17" s="133"/>
      <c r="M17" s="133"/>
      <c r="N17" s="133"/>
      <c r="O17" s="133"/>
      <c r="P17" s="133"/>
      <c r="Q17" s="133"/>
      <c r="R17" s="133"/>
    </row>
    <row r="18" spans="1:18">
      <c r="A18" s="133"/>
      <c r="B18" s="133"/>
      <c r="C18" s="133"/>
      <c r="D18" s="133"/>
      <c r="E18" s="133"/>
      <c r="F18" s="133"/>
      <c r="G18" s="133"/>
      <c r="H18" s="133"/>
      <c r="I18" s="133"/>
      <c r="J18" s="133"/>
      <c r="K18" s="133"/>
      <c r="L18" s="133"/>
      <c r="M18" s="133"/>
      <c r="N18" s="133"/>
      <c r="O18" s="133"/>
      <c r="P18" s="133"/>
      <c r="Q18" s="133"/>
      <c r="R18" s="133"/>
    </row>
    <row r="19" spans="1:18">
      <c r="A19" s="133"/>
      <c r="B19" s="133"/>
      <c r="C19" s="133"/>
      <c r="D19" s="133"/>
      <c r="E19" s="133"/>
      <c r="F19" s="133"/>
      <c r="G19" s="133"/>
      <c r="H19" s="133"/>
      <c r="I19" s="133"/>
      <c r="J19" s="133"/>
      <c r="K19" s="133"/>
      <c r="L19" s="133"/>
      <c r="M19" s="133"/>
      <c r="N19" s="133"/>
      <c r="O19" s="133"/>
      <c r="P19" s="133"/>
      <c r="Q19" s="133"/>
      <c r="R19" s="133"/>
    </row>
    <row r="20" spans="1:18">
      <c r="A20" s="133"/>
      <c r="B20" s="133"/>
      <c r="C20" s="133"/>
      <c r="D20" s="133"/>
      <c r="E20" s="133"/>
      <c r="F20" s="133"/>
      <c r="G20" s="133"/>
      <c r="H20" s="133"/>
      <c r="I20" s="133"/>
      <c r="J20" s="133"/>
      <c r="K20" s="133"/>
      <c r="L20" s="133"/>
      <c r="M20" s="133"/>
      <c r="N20" s="133"/>
      <c r="O20" s="133"/>
      <c r="P20" s="133"/>
      <c r="Q20" s="133"/>
      <c r="R20" s="133"/>
    </row>
    <row r="21" spans="1:18">
      <c r="A21" s="133"/>
      <c r="B21" s="133"/>
      <c r="C21" s="133"/>
      <c r="D21" s="133"/>
      <c r="E21" s="133"/>
      <c r="F21" s="133"/>
      <c r="G21" s="133"/>
      <c r="H21" s="133"/>
      <c r="I21" s="133"/>
      <c r="J21" s="133"/>
      <c r="K21" s="133"/>
      <c r="L21" s="133"/>
      <c r="M21" s="133"/>
      <c r="N21" s="133"/>
      <c r="O21" s="133"/>
      <c r="P21" s="133"/>
      <c r="Q21" s="133"/>
      <c r="R21" s="133"/>
    </row>
    <row r="22" spans="1:18">
      <c r="A22" s="133"/>
      <c r="B22" s="133"/>
      <c r="C22" s="133"/>
      <c r="D22" s="133"/>
      <c r="E22" s="133"/>
      <c r="F22" s="133"/>
      <c r="G22" s="133"/>
      <c r="H22" s="133"/>
      <c r="I22" s="133"/>
      <c r="J22" s="133"/>
      <c r="K22" s="133"/>
      <c r="L22" s="133"/>
      <c r="M22" s="133"/>
      <c r="N22" s="133"/>
      <c r="O22" s="133"/>
      <c r="P22" s="133"/>
      <c r="Q22" s="133"/>
      <c r="R22" s="133"/>
    </row>
    <row r="23" spans="1:18">
      <c r="A23" s="133"/>
      <c r="B23" s="133"/>
      <c r="C23" s="133"/>
      <c r="D23" s="133"/>
      <c r="E23" s="133"/>
      <c r="F23" s="133"/>
      <c r="G23" s="133"/>
      <c r="H23" s="133"/>
      <c r="I23" s="133"/>
      <c r="J23" s="133"/>
      <c r="K23" s="133"/>
      <c r="L23" s="133"/>
      <c r="M23" s="133"/>
      <c r="N23" s="133"/>
      <c r="O23" s="133"/>
      <c r="P23" s="133"/>
      <c r="Q23" s="133"/>
      <c r="R23" s="133"/>
    </row>
    <row r="24" spans="1:18">
      <c r="A24" s="133"/>
      <c r="B24" s="133"/>
      <c r="C24" s="133"/>
      <c r="D24" s="133"/>
      <c r="E24" s="133"/>
      <c r="F24" s="133"/>
      <c r="G24" s="133"/>
      <c r="H24" s="133"/>
      <c r="I24" s="133"/>
      <c r="J24" s="133"/>
      <c r="K24" s="133"/>
      <c r="L24" s="133"/>
      <c r="M24" s="133"/>
      <c r="N24" s="133"/>
      <c r="O24" s="133"/>
      <c r="P24" s="133"/>
      <c r="Q24" s="133"/>
      <c r="R24" s="133"/>
    </row>
    <row r="25" spans="1:18">
      <c r="A25" s="133"/>
      <c r="B25" s="133"/>
      <c r="C25" s="133"/>
      <c r="D25" s="133"/>
      <c r="E25" s="133"/>
      <c r="F25" s="133"/>
      <c r="G25" s="133"/>
      <c r="H25" s="133"/>
      <c r="I25" s="133"/>
      <c r="J25" s="133"/>
      <c r="K25" s="133"/>
      <c r="L25" s="133"/>
      <c r="M25" s="133"/>
      <c r="N25" s="133"/>
      <c r="O25" s="133"/>
      <c r="P25" s="133"/>
      <c r="Q25" s="133"/>
      <c r="R25" s="133"/>
    </row>
    <row r="26" spans="1:18">
      <c r="A26" s="133"/>
      <c r="B26" s="133"/>
      <c r="C26" s="133"/>
      <c r="D26" s="133"/>
      <c r="E26" s="133"/>
      <c r="F26" s="133"/>
      <c r="G26" s="133"/>
      <c r="H26" s="133"/>
      <c r="I26" s="133"/>
      <c r="J26" s="133"/>
      <c r="K26" s="133"/>
      <c r="L26" s="133"/>
      <c r="M26" s="133"/>
      <c r="N26" s="133"/>
      <c r="O26" s="133"/>
      <c r="P26" s="133"/>
      <c r="Q26" s="133"/>
      <c r="R26" s="133"/>
    </row>
    <row r="27" spans="1:18">
      <c r="A27" s="133"/>
      <c r="B27" s="133"/>
      <c r="C27" s="133"/>
      <c r="D27" s="133"/>
      <c r="E27" s="133"/>
      <c r="F27" s="133"/>
      <c r="G27" s="133"/>
      <c r="H27" s="133"/>
      <c r="I27" s="133"/>
      <c r="J27" s="133"/>
      <c r="K27" s="133"/>
      <c r="L27" s="133"/>
      <c r="M27" s="133"/>
      <c r="N27" s="133"/>
      <c r="O27" s="133"/>
      <c r="P27" s="133"/>
      <c r="Q27" s="133"/>
      <c r="R27" s="133"/>
    </row>
    <row r="28" spans="1:18">
      <c r="A28" s="133"/>
      <c r="B28" s="133"/>
      <c r="C28" s="133"/>
      <c r="D28" s="133"/>
      <c r="E28" s="133"/>
      <c r="F28" s="133"/>
      <c r="G28" s="133"/>
      <c r="H28" s="133"/>
      <c r="I28" s="133"/>
      <c r="J28" s="133"/>
      <c r="K28" s="133"/>
      <c r="L28" s="133"/>
      <c r="M28" s="133"/>
      <c r="N28" s="133"/>
      <c r="O28" s="133"/>
      <c r="P28" s="133"/>
      <c r="Q28" s="133"/>
      <c r="R28" s="133"/>
    </row>
    <row r="29" spans="1:18">
      <c r="A29" s="133"/>
      <c r="B29" s="133"/>
      <c r="C29" s="133"/>
      <c r="D29" s="133"/>
      <c r="E29" s="133"/>
      <c r="F29" s="133"/>
      <c r="G29" s="133"/>
      <c r="H29" s="133"/>
      <c r="I29" s="133"/>
      <c r="J29" s="133"/>
      <c r="K29" s="133"/>
      <c r="L29" s="133"/>
      <c r="M29" s="133"/>
      <c r="N29" s="133"/>
      <c r="O29" s="133"/>
      <c r="P29" s="133"/>
      <c r="Q29" s="133"/>
      <c r="R29" s="133"/>
    </row>
    <row r="30" spans="1:18">
      <c r="A30" s="133"/>
      <c r="B30" s="133"/>
      <c r="C30" s="133"/>
      <c r="D30" s="133"/>
      <c r="E30" s="133"/>
      <c r="F30" s="133"/>
      <c r="G30" s="133"/>
      <c r="H30" s="133"/>
      <c r="I30" s="133"/>
      <c r="J30" s="133"/>
      <c r="K30" s="133"/>
      <c r="L30" s="133"/>
      <c r="M30" s="133"/>
      <c r="N30" s="133"/>
      <c r="O30" s="133"/>
      <c r="P30" s="133"/>
      <c r="Q30" s="133"/>
      <c r="R30" s="133"/>
    </row>
    <row r="31" spans="1:18">
      <c r="A31" s="133"/>
      <c r="B31" s="133"/>
      <c r="C31" s="133"/>
      <c r="D31" s="133"/>
      <c r="E31" s="133"/>
      <c r="F31" s="133"/>
      <c r="G31" s="133"/>
      <c r="H31" s="133"/>
      <c r="I31" s="133"/>
      <c r="J31" s="133"/>
      <c r="K31" s="133"/>
      <c r="L31" s="133"/>
      <c r="M31" s="133"/>
      <c r="N31" s="133"/>
      <c r="O31" s="133"/>
      <c r="P31" s="133"/>
      <c r="Q31" s="133"/>
      <c r="R31" s="133"/>
    </row>
    <row r="32" spans="1:18">
      <c r="A32" s="133"/>
      <c r="B32" s="133"/>
      <c r="C32" s="133"/>
      <c r="D32" s="133"/>
      <c r="E32" s="133"/>
      <c r="F32" s="133"/>
      <c r="G32" s="133"/>
      <c r="H32" s="133"/>
      <c r="I32" s="133"/>
      <c r="J32" s="133"/>
      <c r="K32" s="133"/>
      <c r="L32" s="133"/>
      <c r="M32" s="133"/>
      <c r="N32" s="133"/>
      <c r="O32" s="133"/>
      <c r="P32" s="133"/>
      <c r="Q32" s="133"/>
      <c r="R32" s="133"/>
    </row>
    <row r="33" spans="1:18">
      <c r="A33" s="133"/>
      <c r="B33" s="133"/>
      <c r="C33" s="133"/>
      <c r="D33" s="133"/>
      <c r="E33" s="133"/>
      <c r="F33" s="133"/>
      <c r="G33" s="133"/>
      <c r="H33" s="133"/>
      <c r="I33" s="133"/>
      <c r="J33" s="133"/>
      <c r="K33" s="133"/>
      <c r="L33" s="133"/>
      <c r="M33" s="133"/>
      <c r="N33" s="133"/>
      <c r="O33" s="133"/>
      <c r="P33" s="133"/>
      <c r="Q33" s="133"/>
      <c r="R33" s="133"/>
    </row>
    <row r="34" spans="1:18">
      <c r="A34" s="133"/>
      <c r="B34" s="133"/>
      <c r="C34" s="133"/>
      <c r="D34" s="133"/>
      <c r="E34" s="133"/>
      <c r="F34" s="133"/>
      <c r="G34" s="133"/>
      <c r="H34" s="133"/>
      <c r="I34" s="133"/>
      <c r="J34" s="133"/>
      <c r="K34" s="133"/>
      <c r="L34" s="133"/>
      <c r="M34" s="133"/>
      <c r="N34" s="133"/>
      <c r="O34" s="133"/>
      <c r="P34" s="133"/>
      <c r="Q34" s="133"/>
      <c r="R34" s="133"/>
    </row>
    <row r="35" spans="1:18">
      <c r="A35" s="133"/>
      <c r="B35" s="133"/>
      <c r="C35" s="133"/>
      <c r="D35" s="133"/>
      <c r="E35" s="133"/>
      <c r="F35" s="133"/>
      <c r="G35" s="133"/>
      <c r="H35" s="133"/>
      <c r="I35" s="133"/>
      <c r="J35" s="133"/>
      <c r="K35" s="133"/>
      <c r="L35" s="133"/>
      <c r="M35" s="133"/>
      <c r="N35" s="133"/>
      <c r="O35" s="133"/>
      <c r="P35" s="133"/>
      <c r="Q35" s="133"/>
      <c r="R35" s="133"/>
    </row>
    <row r="36" spans="1:18">
      <c r="A36" s="133"/>
      <c r="B36" s="133"/>
      <c r="C36" s="133"/>
      <c r="D36" s="133"/>
      <c r="E36" s="133"/>
      <c r="F36" s="133"/>
      <c r="G36" s="133"/>
      <c r="H36" s="133"/>
      <c r="I36" s="133"/>
      <c r="J36" s="133"/>
      <c r="K36" s="133"/>
      <c r="L36" s="133"/>
      <c r="M36" s="133"/>
      <c r="N36" s="133"/>
      <c r="O36" s="133"/>
      <c r="P36" s="133"/>
      <c r="Q36" s="133"/>
      <c r="R36" s="133"/>
    </row>
    <row r="37" spans="1:18">
      <c r="A37" s="133"/>
      <c r="B37" s="133"/>
      <c r="C37" s="133"/>
      <c r="D37" s="133"/>
      <c r="E37" s="133"/>
      <c r="F37" s="133"/>
      <c r="G37" s="133"/>
      <c r="H37" s="133"/>
      <c r="I37" s="133"/>
      <c r="J37" s="133"/>
      <c r="K37" s="133"/>
      <c r="L37" s="133"/>
      <c r="M37" s="133"/>
      <c r="N37" s="133"/>
      <c r="O37" s="133"/>
      <c r="P37" s="133"/>
      <c r="Q37" s="133"/>
      <c r="R37" s="133"/>
    </row>
    <row r="38" spans="1:18">
      <c r="A38" s="133"/>
      <c r="B38" s="133"/>
      <c r="C38" s="133"/>
      <c r="D38" s="133"/>
      <c r="E38" s="133"/>
      <c r="F38" s="133"/>
      <c r="G38" s="133"/>
      <c r="H38" s="133"/>
      <c r="I38" s="133"/>
      <c r="J38" s="133"/>
      <c r="K38" s="133"/>
      <c r="L38" s="133"/>
      <c r="M38" s="133"/>
      <c r="N38" s="133"/>
      <c r="O38" s="133"/>
      <c r="P38" s="133"/>
      <c r="Q38" s="133"/>
      <c r="R38" s="133"/>
    </row>
    <row r="39" spans="1:18">
      <c r="A39" s="133"/>
      <c r="B39" s="133"/>
      <c r="C39" s="133"/>
      <c r="D39" s="133"/>
      <c r="E39" s="133"/>
      <c r="F39" s="133"/>
      <c r="G39" s="133"/>
      <c r="H39" s="133"/>
      <c r="I39" s="133"/>
      <c r="J39" s="133"/>
      <c r="K39" s="133"/>
      <c r="L39" s="133"/>
      <c r="M39" s="133"/>
      <c r="N39" s="133"/>
      <c r="O39" s="133"/>
      <c r="P39" s="133"/>
      <c r="Q39" s="133"/>
      <c r="R39" s="133"/>
    </row>
    <row r="40" spans="1:18">
      <c r="A40" s="133"/>
      <c r="B40" s="133"/>
      <c r="C40" s="133"/>
      <c r="D40" s="133"/>
      <c r="E40" s="133"/>
      <c r="F40" s="133"/>
      <c r="G40" s="133"/>
      <c r="H40" s="133"/>
      <c r="I40" s="133"/>
      <c r="J40" s="133"/>
      <c r="K40" s="133"/>
      <c r="L40" s="133"/>
      <c r="M40" s="133"/>
      <c r="N40" s="133"/>
      <c r="O40" s="133"/>
      <c r="P40" s="133"/>
      <c r="Q40" s="133"/>
      <c r="R40" s="133"/>
    </row>
    <row r="41" spans="1:18">
      <c r="A41" s="133"/>
      <c r="B41" s="133"/>
      <c r="C41" s="133"/>
      <c r="D41" s="133"/>
      <c r="E41" s="133"/>
      <c r="F41" s="133"/>
      <c r="G41" s="133"/>
      <c r="H41" s="133"/>
      <c r="I41" s="133"/>
      <c r="J41" s="133"/>
      <c r="K41" s="133"/>
      <c r="L41" s="133"/>
      <c r="M41" s="133"/>
      <c r="N41" s="133"/>
      <c r="O41" s="133"/>
      <c r="P41" s="133"/>
      <c r="Q41" s="133"/>
      <c r="R41" s="133"/>
    </row>
    <row r="42" spans="1:18">
      <c r="A42" s="133"/>
      <c r="B42" s="133"/>
      <c r="C42" s="133"/>
      <c r="D42" s="133"/>
      <c r="E42" s="133"/>
      <c r="F42" s="133"/>
      <c r="G42" s="133"/>
      <c r="H42" s="133"/>
      <c r="I42" s="133"/>
      <c r="J42" s="133"/>
      <c r="K42" s="133"/>
      <c r="L42" s="133"/>
      <c r="M42" s="133"/>
      <c r="N42" s="133"/>
      <c r="O42" s="133"/>
      <c r="P42" s="133"/>
      <c r="Q42" s="133"/>
      <c r="R42" s="133"/>
    </row>
    <row r="43" spans="1:18">
      <c r="A43" s="133"/>
      <c r="B43" s="133"/>
      <c r="C43" s="133"/>
      <c r="D43" s="133"/>
      <c r="E43" s="133"/>
      <c r="F43" s="133"/>
      <c r="G43" s="133"/>
      <c r="H43" s="133"/>
      <c r="I43" s="133"/>
      <c r="J43" s="133"/>
      <c r="K43" s="133"/>
      <c r="L43" s="133"/>
      <c r="M43" s="133"/>
      <c r="N43" s="133"/>
      <c r="O43" s="133"/>
      <c r="P43" s="133"/>
      <c r="Q43" s="133"/>
      <c r="R43" s="133"/>
    </row>
    <row r="44" spans="1:18">
      <c r="A44" s="133"/>
      <c r="B44" s="133"/>
      <c r="C44" s="133"/>
      <c r="D44" s="133"/>
      <c r="E44" s="133"/>
      <c r="F44" s="133"/>
      <c r="G44" s="133"/>
      <c r="H44" s="133"/>
      <c r="I44" s="133"/>
      <c r="J44" s="133"/>
      <c r="K44" s="133"/>
      <c r="L44" s="133"/>
      <c r="M44" s="133"/>
      <c r="N44" s="133"/>
      <c r="O44" s="133"/>
      <c r="P44" s="133"/>
      <c r="Q44" s="133"/>
      <c r="R44" s="133"/>
    </row>
    <row r="45" spans="1:18">
      <c r="A45" s="133"/>
      <c r="B45" s="133"/>
      <c r="C45" s="133"/>
      <c r="D45" s="133"/>
      <c r="E45" s="133"/>
      <c r="F45" s="133"/>
      <c r="G45" s="133"/>
      <c r="H45" s="133"/>
      <c r="I45" s="133"/>
      <c r="J45" s="133"/>
      <c r="K45" s="133"/>
      <c r="L45" s="133"/>
      <c r="M45" s="133"/>
      <c r="N45" s="133"/>
      <c r="O45" s="133"/>
      <c r="P45" s="133"/>
      <c r="Q45" s="133"/>
      <c r="R45" s="133"/>
    </row>
    <row r="46" spans="1:18">
      <c r="A46" s="133"/>
      <c r="B46" s="133"/>
      <c r="C46" s="133"/>
      <c r="D46" s="133"/>
      <c r="E46" s="133"/>
      <c r="F46" s="133"/>
      <c r="G46" s="133"/>
      <c r="H46" s="133"/>
      <c r="I46" s="133"/>
      <c r="J46" s="133"/>
      <c r="K46" s="133"/>
      <c r="L46" s="133"/>
      <c r="M46" s="133"/>
      <c r="N46" s="133"/>
      <c r="O46" s="133"/>
      <c r="P46" s="133"/>
      <c r="Q46" s="133"/>
      <c r="R46" s="133"/>
    </row>
    <row r="47" spans="1:18">
      <c r="A47" s="133"/>
      <c r="B47" s="133"/>
      <c r="C47" s="133"/>
      <c r="D47" s="133"/>
      <c r="E47" s="133"/>
      <c r="F47" s="133"/>
      <c r="G47" s="133"/>
      <c r="H47" s="133"/>
      <c r="I47" s="133"/>
      <c r="J47" s="133"/>
      <c r="K47" s="133"/>
      <c r="L47" s="133"/>
      <c r="M47" s="133"/>
      <c r="N47" s="133"/>
      <c r="O47" s="133"/>
      <c r="P47" s="133"/>
      <c r="Q47" s="133"/>
      <c r="R47" s="133"/>
    </row>
    <row r="48" spans="1:18">
      <c r="A48" s="133"/>
      <c r="B48" s="133"/>
      <c r="C48" s="133"/>
      <c r="D48" s="133"/>
      <c r="E48" s="133"/>
      <c r="F48" s="133"/>
      <c r="G48" s="133"/>
      <c r="H48" s="133"/>
      <c r="I48" s="133"/>
      <c r="J48" s="133"/>
      <c r="K48" s="133"/>
      <c r="L48" s="133"/>
      <c r="M48" s="133"/>
      <c r="N48" s="133"/>
      <c r="O48" s="133"/>
      <c r="P48" s="133"/>
      <c r="Q48" s="133"/>
      <c r="R48" s="133"/>
    </row>
    <row r="49" spans="1:18">
      <c r="A49" s="133"/>
      <c r="B49" s="133"/>
      <c r="C49" s="133"/>
      <c r="D49" s="133"/>
      <c r="E49" s="133"/>
      <c r="F49" s="133"/>
      <c r="G49" s="133"/>
      <c r="H49" s="133"/>
      <c r="I49" s="133"/>
      <c r="J49" s="133"/>
      <c r="K49" s="133"/>
      <c r="L49" s="133"/>
      <c r="M49" s="133"/>
      <c r="N49" s="133"/>
      <c r="O49" s="133"/>
      <c r="P49" s="133"/>
      <c r="Q49" s="133"/>
      <c r="R49" s="133"/>
    </row>
    <row r="50" spans="1:18">
      <c r="A50" s="133"/>
      <c r="B50" s="133"/>
      <c r="C50" s="133"/>
      <c r="D50" s="133"/>
      <c r="E50" s="133"/>
      <c r="F50" s="133"/>
      <c r="G50" s="133"/>
      <c r="H50" s="133"/>
      <c r="I50" s="133"/>
      <c r="J50" s="133"/>
      <c r="K50" s="133"/>
      <c r="L50" s="133"/>
      <c r="M50" s="133"/>
      <c r="N50" s="133"/>
      <c r="O50" s="133"/>
      <c r="P50" s="133"/>
      <c r="Q50" s="133"/>
      <c r="R50" s="133"/>
    </row>
    <row r="51" spans="1:18">
      <c r="A51" s="133"/>
      <c r="B51" s="133"/>
      <c r="C51" s="133"/>
      <c r="D51" s="133"/>
      <c r="E51" s="133"/>
      <c r="F51" s="133"/>
      <c r="G51" s="133"/>
      <c r="H51" s="133"/>
      <c r="I51" s="133"/>
      <c r="J51" s="133"/>
      <c r="K51" s="133"/>
      <c r="L51" s="133"/>
      <c r="M51" s="133"/>
      <c r="N51" s="133"/>
      <c r="O51" s="133"/>
      <c r="P51" s="133"/>
      <c r="Q51" s="133"/>
      <c r="R51" s="133"/>
    </row>
    <row r="52" spans="1:18">
      <c r="A52" s="133"/>
      <c r="B52" s="133"/>
      <c r="C52" s="133"/>
      <c r="D52" s="133"/>
      <c r="E52" s="133"/>
      <c r="F52" s="133"/>
      <c r="G52" s="133"/>
      <c r="H52" s="133"/>
      <c r="I52" s="133"/>
      <c r="J52" s="133"/>
      <c r="K52" s="133"/>
      <c r="L52" s="133"/>
      <c r="M52" s="133"/>
      <c r="N52" s="133"/>
      <c r="O52" s="133"/>
      <c r="P52" s="133"/>
      <c r="Q52" s="133"/>
      <c r="R52" s="133"/>
    </row>
    <row r="53" spans="1:18">
      <c r="A53" s="133"/>
      <c r="B53" s="133"/>
      <c r="C53" s="133"/>
      <c r="D53" s="133"/>
      <c r="E53" s="133"/>
      <c r="F53" s="133"/>
      <c r="G53" s="133"/>
      <c r="H53" s="133"/>
      <c r="I53" s="133"/>
      <c r="J53" s="133"/>
      <c r="K53" s="133"/>
      <c r="L53" s="133"/>
      <c r="M53" s="133"/>
      <c r="N53" s="133"/>
      <c r="O53" s="133"/>
      <c r="P53" s="133"/>
      <c r="Q53" s="133"/>
      <c r="R53" s="133"/>
    </row>
    <row r="54" spans="1:18">
      <c r="A54" s="133"/>
      <c r="B54" s="133"/>
      <c r="C54" s="133"/>
      <c r="D54" s="133"/>
      <c r="E54" s="133"/>
      <c r="F54" s="133"/>
      <c r="G54" s="133"/>
      <c r="H54" s="133"/>
      <c r="I54" s="133"/>
      <c r="J54" s="133"/>
      <c r="K54" s="133"/>
      <c r="L54" s="133"/>
      <c r="M54" s="133"/>
      <c r="N54" s="133"/>
      <c r="O54" s="133"/>
      <c r="P54" s="133"/>
      <c r="Q54" s="133"/>
      <c r="R54" s="133"/>
    </row>
    <row r="55" spans="1:18">
      <c r="A55" s="133"/>
      <c r="B55" s="133"/>
      <c r="C55" s="133"/>
      <c r="D55" s="133"/>
      <c r="E55" s="133"/>
      <c r="F55" s="133"/>
      <c r="G55" s="133"/>
      <c r="H55" s="133"/>
      <c r="I55" s="133"/>
      <c r="J55" s="133"/>
      <c r="K55" s="133"/>
      <c r="L55" s="133"/>
      <c r="M55" s="133"/>
      <c r="N55" s="133"/>
      <c r="O55" s="133"/>
      <c r="P55" s="133"/>
      <c r="Q55" s="133"/>
      <c r="R55" s="133"/>
    </row>
    <row r="56" spans="1:18" hidden="1">
      <c r="A56" s="133"/>
      <c r="B56" s="133"/>
      <c r="C56" s="133"/>
      <c r="D56" s="133"/>
      <c r="E56" s="133"/>
      <c r="F56" s="133"/>
      <c r="G56" s="133"/>
      <c r="H56" s="133"/>
      <c r="I56" s="133"/>
      <c r="J56" s="133"/>
      <c r="K56" s="133"/>
      <c r="L56" s="133"/>
      <c r="M56" s="133"/>
      <c r="N56" s="133"/>
      <c r="O56" s="133"/>
      <c r="P56" s="133"/>
      <c r="Q56" s="133"/>
      <c r="R56" s="133"/>
    </row>
    <row r="57" spans="1:18" hidden="1">
      <c r="A57" s="133"/>
      <c r="B57" s="133"/>
      <c r="C57" s="133"/>
      <c r="D57" s="133"/>
      <c r="E57" s="133"/>
      <c r="F57" s="133"/>
      <c r="G57" s="133"/>
      <c r="H57" s="133"/>
      <c r="I57" s="133"/>
      <c r="J57" s="133"/>
      <c r="K57" s="133"/>
      <c r="L57" s="133"/>
      <c r="M57" s="133"/>
      <c r="N57" s="133"/>
      <c r="O57" s="133"/>
      <c r="P57" s="133"/>
      <c r="Q57" s="133"/>
      <c r="R57" s="133"/>
    </row>
    <row r="58" spans="1:18" hidden="1">
      <c r="A58" s="133"/>
      <c r="B58" s="133"/>
      <c r="C58" s="133"/>
      <c r="D58" s="133"/>
      <c r="E58" s="133"/>
      <c r="F58" s="133"/>
      <c r="G58" s="133"/>
      <c r="H58" s="133"/>
      <c r="I58" s="133"/>
      <c r="J58" s="133"/>
      <c r="K58" s="133"/>
      <c r="L58" s="133"/>
      <c r="M58" s="133"/>
      <c r="N58" s="133"/>
      <c r="O58" s="133"/>
      <c r="P58" s="133"/>
      <c r="Q58" s="133"/>
      <c r="R58" s="133"/>
    </row>
    <row r="59" spans="1:18" hidden="1">
      <c r="A59" s="133"/>
      <c r="B59" s="133"/>
      <c r="C59" s="133"/>
      <c r="D59" s="133"/>
      <c r="E59" s="133"/>
      <c r="F59" s="133"/>
      <c r="G59" s="133"/>
      <c r="H59" s="133"/>
      <c r="I59" s="133"/>
      <c r="J59" s="133"/>
      <c r="K59" s="133"/>
      <c r="L59" s="133"/>
      <c r="M59" s="133"/>
      <c r="N59" s="133"/>
      <c r="O59" s="133"/>
      <c r="P59" s="133"/>
      <c r="Q59" s="133"/>
      <c r="R59" s="133"/>
    </row>
    <row r="65" s="193" customFormat="1" hidden="1"/>
    <row r="66" s="193" customFormat="1" hidden="1"/>
    <row r="67" s="193" customFormat="1" hidden="1"/>
    <row r="68" s="193" customFormat="1" hidden="1"/>
    <row r="69" s="193" customFormat="1" hidden="1"/>
    <row r="70" s="193" customFormat="1" hidden="1"/>
    <row r="71" s="193" customFormat="1" hidden="1"/>
  </sheetData>
  <sheetProtection algorithmName="SHA-512" hashValue="7H9VrDMi0pVLKT8+aznrNB8/iR/zh1+zTrvN0zcxiA1K5we+nvBY+HlK8Mq1eLsu3VSkob+4p7yP+wQFsVcBNw==" saltValue="LRbVtt8E4wzh2mgvaWc8Fw==" spinCount="100000" sheet="1" objects="1" scenarios="1" selectLockedCells="1"/>
  <mergeCells count="5">
    <mergeCell ref="C1:N3"/>
    <mergeCell ref="C4:E4"/>
    <mergeCell ref="C6:D6"/>
    <mergeCell ref="E6:F6"/>
    <mergeCell ref="G6:H6"/>
  </mergeCells>
  <conditionalFormatting sqref="C8:H13">
    <cfRule type="cellIs" dxfId="11" priority="11" operator="lessThan">
      <formula>0</formula>
    </cfRule>
    <cfRule type="cellIs" dxfId="10" priority="12" operator="greaterThan">
      <formula>0</formula>
    </cfRule>
  </conditionalFormatting>
  <conditionalFormatting sqref="C8:C13">
    <cfRule type="cellIs" dxfId="9" priority="10" operator="lessThan">
      <formula>0</formula>
    </cfRule>
    <cfRule type="cellIs" dxfId="8" priority="9" operator="greaterThanOrEqual">
      <formula>0</formula>
    </cfRule>
  </conditionalFormatting>
  <conditionalFormatting sqref="D8:D13">
    <cfRule type="cellIs" dxfId="7" priority="8" operator="lessThan">
      <formula>0</formula>
    </cfRule>
    <cfRule type="cellIs" dxfId="6" priority="7" operator="greaterThanOrEqual">
      <formula>0</formula>
    </cfRule>
  </conditionalFormatting>
  <conditionalFormatting sqref="E8:E13">
    <cfRule type="cellIs" dxfId="5" priority="6" operator="lessThan">
      <formula>0</formula>
    </cfRule>
    <cfRule type="cellIs" dxfId="4" priority="5" operator="greaterThanOrEqual">
      <formula>0</formula>
    </cfRule>
  </conditionalFormatting>
  <conditionalFormatting sqref="F8:F13">
    <cfRule type="cellIs" dxfId="3" priority="4" operator="lessThan">
      <formula>0</formula>
    </cfRule>
    <cfRule type="cellIs" dxfId="2" priority="3" operator="greaterThanOrEqual">
      <formula>0</formula>
    </cfRule>
  </conditionalFormatting>
  <conditionalFormatting sqref="G8:H13">
    <cfRule type="cellIs" dxfId="1" priority="2" operator="lessThan">
      <formula>1</formula>
    </cfRule>
    <cfRule type="cellIs" dxfId="0" priority="1" operator="greaterThanOrEqual">
      <formula>1</formula>
    </cfRule>
  </conditionalFormatting>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a0d38b7-287d-46fb-8300-244bc6d78e70">
      <Terms xmlns="http://schemas.microsoft.com/office/infopath/2007/PartnerControls"/>
    </lcf76f155ced4ddcb4097134ff3c332f>
    <TaxCatchAll xmlns="c4da7bff-8681-4f82-928a-e0e39e4351d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A96D05F142DE4A8095AE861EFDA0E7" ma:contentTypeVersion="18" ma:contentTypeDescription="Create a new document." ma:contentTypeScope="" ma:versionID="0dfb3186bdc3062c1ebd6dcaa50c5459">
  <xsd:schema xmlns:xsd="http://www.w3.org/2001/XMLSchema" xmlns:xs="http://www.w3.org/2001/XMLSchema" xmlns:p="http://schemas.microsoft.com/office/2006/metadata/properties" xmlns:ns2="ba0d38b7-287d-46fb-8300-244bc6d78e70" xmlns:ns3="c4da7bff-8681-4f82-928a-e0e39e4351d6" targetNamespace="http://schemas.microsoft.com/office/2006/metadata/properties" ma:root="true" ma:fieldsID="91df603613166ebae1f70d27f05406f6" ns2:_="" ns3:_="">
    <xsd:import namespace="ba0d38b7-287d-46fb-8300-244bc6d78e70"/>
    <xsd:import namespace="c4da7bff-8681-4f82-928a-e0e39e4351d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d38b7-287d-46fb-8300-244bc6d78e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cb12b0e-00a5-4551-8a19-a15de1741bab"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da7bff-8681-4f82-928a-e0e39e4351d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bc978b3-120d-4ee3-b9da-e97fef319cca}" ma:internalName="TaxCatchAll" ma:showField="CatchAllData" ma:web="c4da7bff-8681-4f82-928a-e0e39e4351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FCC265-6F08-44CD-A296-2FB0838184DC}"/>
</file>

<file path=customXml/itemProps2.xml><?xml version="1.0" encoding="utf-8"?>
<ds:datastoreItem xmlns:ds="http://schemas.openxmlformats.org/officeDocument/2006/customXml" ds:itemID="{E6776E61-D4A8-48DC-BE85-5C735186179A}"/>
</file>

<file path=customXml/itemProps3.xml><?xml version="1.0" encoding="utf-8"?>
<ds:datastoreItem xmlns:ds="http://schemas.openxmlformats.org/officeDocument/2006/customXml" ds:itemID="{BFA3FDF5-7C07-4A1F-B0EF-1E30580A226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Christos Tourkolias</dc:creator>
  <cp:keywords/>
  <dc:description/>
  <cp:lastModifiedBy/>
  <cp:revision/>
  <dcterms:created xsi:type="dcterms:W3CDTF">2016-01-11T18:27:57Z</dcterms:created>
  <dcterms:modified xsi:type="dcterms:W3CDTF">2025-05-23T07:06:53Z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0x010100D0A96D05F142DE4A8095AE861EFDA0E7</vt:lpwstr>
  </property>
  <property fmtid="{D5CDD505-2E9C-101B-9397-08002B2CF9AE}" pid="3" name="MediaServiceImageTags">
    <vt:lpwstr/>
  </property>
</Properties>
</file>